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6_ADMINISTRACIJA\FINANCIJE\2026\Financijski plan za 2026\I. Izmjena financijskog plana za 2026. godinu\"/>
    </mc:Choice>
  </mc:AlternateContent>
  <xr:revisionPtr revIDLastSave="0" documentId="13_ncr:1_{0FA7D252-428F-4AD9-9967-B87BD5F8841E}" xr6:coauthVersionLast="47" xr6:coauthVersionMax="47" xr10:uidLastSave="{00000000-0000-0000-0000-000000000000}"/>
  <bookViews>
    <workbookView xWindow="-110" yWindow="-110" windowWidth="19420" windowHeight="12300" xr2:uid="{DE411279-253E-430F-9553-5428AC7673A0}"/>
  </bookViews>
  <sheets>
    <sheet name="I. Izmjena" sheetId="3" r:id="rId1"/>
  </sheets>
  <definedNames>
    <definedName name="_xlnm._FilterDatabase" localSheetId="0" hidden="1">'I. Izmjena'!$A$54:$G$216</definedName>
    <definedName name="_xlnm.Print_Area" localSheetId="0">'I. Izmjena'!$A$1:$H$217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4" i="3" l="1"/>
  <c r="G69" i="3"/>
  <c r="G31" i="3"/>
  <c r="G3" i="3" s="1"/>
  <c r="D28" i="3"/>
  <c r="F28" i="3"/>
  <c r="G28" i="3"/>
  <c r="G4" i="3"/>
  <c r="E3" i="3"/>
  <c r="G17" i="3" l="1"/>
  <c r="F17" i="3"/>
  <c r="D5" i="3"/>
  <c r="E5" i="3"/>
  <c r="F5" i="3"/>
  <c r="G5" i="3"/>
  <c r="E40" i="3"/>
  <c r="G40" i="3"/>
  <c r="G26" i="3"/>
  <c r="G16" i="3"/>
  <c r="G190" i="3" l="1"/>
  <c r="G183" i="3"/>
  <c r="G101" i="3" l="1"/>
  <c r="G189" i="3"/>
  <c r="G182" i="3"/>
  <c r="G94" i="3" l="1"/>
  <c r="G131" i="3"/>
  <c r="G155" i="3"/>
  <c r="G158" i="3"/>
  <c r="G84" i="3"/>
  <c r="G191" i="3" l="1"/>
  <c r="F191" i="3"/>
  <c r="G163" i="3" l="1"/>
  <c r="G157" i="3"/>
  <c r="F154" i="3"/>
  <c r="G20" i="3" l="1"/>
  <c r="G112" i="3"/>
  <c r="G85" i="3"/>
  <c r="G108" i="3"/>
  <c r="G177" i="3"/>
  <c r="G139" i="3"/>
  <c r="G215" i="3"/>
  <c r="G151" i="3"/>
  <c r="F139" i="3"/>
  <c r="G37" i="3"/>
  <c r="G140" i="3"/>
  <c r="G146" i="3"/>
  <c r="G148" i="3"/>
  <c r="G141" i="3"/>
  <c r="E139" i="3"/>
  <c r="E140" i="3"/>
  <c r="G145" i="3" l="1"/>
  <c r="G124" i="3"/>
  <c r="G119" i="3"/>
  <c r="G109" i="3"/>
  <c r="G89" i="3"/>
  <c r="G91" i="3"/>
  <c r="G81" i="3"/>
  <c r="G73" i="3"/>
  <c r="G45" i="3"/>
  <c r="G35" i="3"/>
  <c r="G29" i="3"/>
  <c r="F29" i="3"/>
  <c r="G32" i="3"/>
  <c r="G38" i="3"/>
  <c r="G12" i="3"/>
  <c r="G8" i="3"/>
  <c r="G214" i="3"/>
  <c r="G210" i="3"/>
  <c r="G202" i="3"/>
  <c r="G196" i="3"/>
  <c r="G184" i="3"/>
  <c r="G175" i="3"/>
  <c r="G172" i="3"/>
  <c r="G170" i="3"/>
  <c r="G167" i="3"/>
  <c r="G165" i="3"/>
  <c r="G150" i="3"/>
  <c r="G147" i="3"/>
  <c r="G118" i="3"/>
  <c r="G113" i="3"/>
  <c r="G111" i="3"/>
  <c r="G110" i="3"/>
  <c r="G99" i="3"/>
  <c r="G86" i="3"/>
  <c r="G71" i="3"/>
  <c r="G58" i="3"/>
  <c r="G56" i="3" s="1"/>
  <c r="G46" i="3"/>
  <c r="G21" i="3"/>
  <c r="G15" i="3"/>
  <c r="E14" i="3"/>
  <c r="E19" i="3"/>
  <c r="E183" i="3"/>
  <c r="E181" i="3"/>
  <c r="E158" i="3"/>
  <c r="E155" i="3"/>
  <c r="E159" i="3"/>
  <c r="E202" i="3" l="1"/>
  <c r="E146" i="3"/>
  <c r="E163" i="3"/>
  <c r="E118" i="3"/>
  <c r="E119" i="3"/>
  <c r="E20" i="3"/>
  <c r="E177" i="3"/>
  <c r="P16" i="3"/>
  <c r="E29" i="3"/>
  <c r="E28" i="3" s="1"/>
  <c r="F69" i="3"/>
  <c r="P15" i="3"/>
  <c r="P12" i="3"/>
  <c r="P11" i="3"/>
  <c r="K10" i="3"/>
  <c r="P6" i="3"/>
  <c r="K14" i="3"/>
  <c r="E17" i="3"/>
  <c r="D40" i="3"/>
  <c r="E162" i="3"/>
  <c r="E157" i="3"/>
  <c r="E154" i="3" l="1"/>
  <c r="E57" i="3"/>
  <c r="P9" i="3"/>
  <c r="P13" i="3"/>
  <c r="P7" i="3"/>
  <c r="P14" i="3"/>
  <c r="P10" i="3"/>
  <c r="P8" i="3" l="1"/>
  <c r="P17" i="3" s="1"/>
  <c r="E9" i="3"/>
  <c r="E4" i="3" s="1"/>
  <c r="E174" i="3"/>
  <c r="F214" i="3"/>
  <c r="F210" i="3"/>
  <c r="F174" i="3"/>
  <c r="F172" i="3"/>
  <c r="F170" i="3"/>
  <c r="F167" i="3"/>
  <c r="F56" i="3"/>
  <c r="F46" i="3"/>
  <c r="F31" i="3"/>
  <c r="E214" i="3"/>
  <c r="E210" i="3"/>
  <c r="E172" i="3"/>
  <c r="E170" i="3"/>
  <c r="E167" i="3"/>
  <c r="P59" i="3" s="1"/>
  <c r="P58" i="3"/>
  <c r="E56" i="3"/>
  <c r="P56" i="3" s="1"/>
  <c r="E46" i="3"/>
  <c r="E31" i="3"/>
  <c r="Q15" i="3" l="1"/>
  <c r="Q9" i="3"/>
  <c r="Q7" i="3"/>
  <c r="Q11" i="3"/>
  <c r="Q16" i="3"/>
  <c r="Q6" i="3"/>
  <c r="Q14" i="3"/>
  <c r="Q10" i="3"/>
  <c r="Q12" i="3"/>
  <c r="Q13" i="3"/>
  <c r="Q8" i="3"/>
  <c r="P60" i="3"/>
  <c r="P61" i="3"/>
  <c r="F4" i="3"/>
  <c r="F3" i="3" s="1"/>
  <c r="F55" i="3"/>
  <c r="K7" i="3"/>
  <c r="K13" i="3"/>
  <c r="K15" i="3"/>
  <c r="K11" i="3"/>
  <c r="K9" i="3"/>
  <c r="K8" i="3" s="1"/>
  <c r="K6" i="3"/>
  <c r="D214" i="3" l="1"/>
  <c r="D210" i="3"/>
  <c r="D202" i="3"/>
  <c r="D196" i="3"/>
  <c r="D189" i="3"/>
  <c r="D184" i="3"/>
  <c r="D182" i="3"/>
  <c r="D175" i="3"/>
  <c r="D172" i="3"/>
  <c r="D170" i="3"/>
  <c r="D167" i="3"/>
  <c r="K59" i="3" s="1"/>
  <c r="D165" i="3"/>
  <c r="D163" i="3"/>
  <c r="D159" i="3"/>
  <c r="D158" i="3"/>
  <c r="K87" i="3" s="1"/>
  <c r="D155" i="3"/>
  <c r="D154" i="3" s="1"/>
  <c r="D150" i="3"/>
  <c r="D147" i="3"/>
  <c r="E69" i="3" s="1"/>
  <c r="D146" i="3"/>
  <c r="D124" i="3"/>
  <c r="D119" i="3"/>
  <c r="D118" i="3"/>
  <c r="D113" i="3"/>
  <c r="D112" i="3"/>
  <c r="D111" i="3"/>
  <c r="D110" i="3"/>
  <c r="D108" i="3"/>
  <c r="D99" i="3"/>
  <c r="D89" i="3"/>
  <c r="D86" i="3"/>
  <c r="D84" i="3"/>
  <c r="D71" i="3"/>
  <c r="D58" i="3"/>
  <c r="D56" i="3" s="1"/>
  <c r="K56" i="3" s="1"/>
  <c r="D46" i="3"/>
  <c r="K16" i="3"/>
  <c r="D31" i="3"/>
  <c r="D21" i="3"/>
  <c r="D17" i="3"/>
  <c r="D16" i="3"/>
  <c r="D15" i="3"/>
  <c r="G159" i="3" l="1"/>
  <c r="G154" i="3" s="1"/>
  <c r="G55" i="3" s="1"/>
  <c r="G216" i="3" s="1"/>
  <c r="K88" i="3"/>
  <c r="P57" i="3"/>
  <c r="P62" i="3" s="1"/>
  <c r="Q59" i="3" s="1"/>
  <c r="E55" i="3"/>
  <c r="E216" i="3" s="1"/>
  <c r="D174" i="3"/>
  <c r="K61" i="3" s="1"/>
  <c r="K60" i="3"/>
  <c r="K17" i="3"/>
  <c r="K58" i="3"/>
  <c r="D69" i="3"/>
  <c r="D4" i="3"/>
  <c r="D3" i="3" s="1"/>
  <c r="K57" i="3" l="1"/>
  <c r="K62" i="3" s="1"/>
  <c r="L56" i="3" s="1"/>
  <c r="Q58" i="3"/>
  <c r="Q57" i="3"/>
  <c r="Q56" i="3"/>
  <c r="Q60" i="3"/>
  <c r="Q61" i="3"/>
  <c r="R16" i="3"/>
  <c r="R15" i="3"/>
  <c r="R14" i="3"/>
  <c r="R13" i="3"/>
  <c r="R11" i="3"/>
  <c r="R10" i="3"/>
  <c r="R9" i="3"/>
  <c r="R6" i="3"/>
  <c r="R12" i="3"/>
  <c r="R8" i="3"/>
  <c r="R7" i="3"/>
  <c r="L15" i="3"/>
  <c r="L6" i="3"/>
  <c r="L7" i="3"/>
  <c r="L10" i="3"/>
  <c r="L8" i="3"/>
  <c r="L16" i="3"/>
  <c r="L11" i="3"/>
  <c r="L14" i="3"/>
  <c r="L13" i="3"/>
  <c r="L12" i="3"/>
  <c r="L9" i="3"/>
  <c r="D55" i="3"/>
  <c r="D216" i="3" l="1"/>
  <c r="M6" i="3"/>
  <c r="M13" i="3"/>
  <c r="M10" i="3"/>
  <c r="M14" i="3"/>
  <c r="M16" i="3"/>
  <c r="M15" i="3"/>
  <c r="M11" i="3"/>
  <c r="M8" i="3"/>
  <c r="M9" i="3"/>
  <c r="M7" i="3"/>
  <c r="M12" i="3"/>
  <c r="L59" i="3"/>
  <c r="L60" i="3"/>
  <c r="L57" i="3"/>
  <c r="L61" i="3"/>
  <c r="L58" i="3"/>
</calcChain>
</file>

<file path=xl/sharedStrings.xml><?xml version="1.0" encoding="utf-8"?>
<sst xmlns="http://schemas.openxmlformats.org/spreadsheetml/2006/main" count="504" uniqueCount="280">
  <si>
    <t>Konto</t>
  </si>
  <si>
    <t>Opis troškova</t>
  </si>
  <si>
    <t>Izvor financiranja</t>
  </si>
  <si>
    <t>TROŠKOVI</t>
  </si>
  <si>
    <t>40</t>
  </si>
  <si>
    <t>MATERIJALNI TROŠKOVI</t>
  </si>
  <si>
    <t xml:space="preserve">Potrošni materijal </t>
  </si>
  <si>
    <t>KZŽ-upravljanje</t>
  </si>
  <si>
    <t>OSTALI VANJSKI TROŠKOVI (troškovi usluga)</t>
  </si>
  <si>
    <t>Uredski materijal</t>
  </si>
  <si>
    <t>Vlastiti prihod/tržište</t>
  </si>
  <si>
    <t>TROŠKOVI OSOBLJA - PLAĆE</t>
  </si>
  <si>
    <t>Voda (izvorska) za piće</t>
  </si>
  <si>
    <t>AMORTIZACIJA</t>
  </si>
  <si>
    <t>Troškovi ukrasnog bilja</t>
  </si>
  <si>
    <t>OSTALI TROŠKOVI POSLOVANJA</t>
  </si>
  <si>
    <t>Ostali materijalni troškovi-natpisne ploče, ključevi,</t>
  </si>
  <si>
    <t>OSTALI POSLOVNI RASHODI</t>
  </si>
  <si>
    <t>4040</t>
  </si>
  <si>
    <t xml:space="preserve">Troškovi sitnog inventara </t>
  </si>
  <si>
    <t>4060</t>
  </si>
  <si>
    <t>Električna energija</t>
  </si>
  <si>
    <t>4061</t>
  </si>
  <si>
    <t>Plin, para, briketi i drva</t>
  </si>
  <si>
    <t>4075/4076</t>
  </si>
  <si>
    <t>Troškovi goriva službenog automobila</t>
  </si>
  <si>
    <t>41</t>
  </si>
  <si>
    <t>4100</t>
  </si>
  <si>
    <t>Troškovi telefona, interneta i sl. (fiksna i mobilna telefonija)</t>
  </si>
  <si>
    <t>4101</t>
  </si>
  <si>
    <t>Poštanski troškovi</t>
  </si>
  <si>
    <t>4114</t>
  </si>
  <si>
    <t xml:space="preserve">Grafičke usluge </t>
  </si>
  <si>
    <t>HEALTH IT (HZZ)</t>
  </si>
  <si>
    <t>Vanjski stručnjaci- predavač Health IT edukacije-4 generacija</t>
  </si>
  <si>
    <t>KZŽ - aktivnosti rada</t>
  </si>
  <si>
    <t>Ostale vanjske usluge-Invest in Zagorje (snimatelj, dj)</t>
  </si>
  <si>
    <t>Ostale vanjske usluge-Hamag Bicro edukacije-recertifikacija</t>
  </si>
  <si>
    <t xml:space="preserve">Hamag Bicro </t>
  </si>
  <si>
    <t>Usluge tekućeg održavanja-objekt (popravci razni, bojanje zidova...)</t>
  </si>
  <si>
    <t>Usluge tekućeg održavanja-oprema*</t>
  </si>
  <si>
    <t>Usluge čišćenja (vanjski servis)</t>
  </si>
  <si>
    <t>Usluge čišćenja snijega</t>
  </si>
  <si>
    <t xml:space="preserve">Usluge održavanja softvera i web stranica (Internet stranica Poduzetničkog centra, inkubatora, Invest in Zagorje, BAIF platforma, e - pisarnica, održavanje aplikacije virtualnog inkubatora i aplikacije narudžbenica) </t>
  </si>
  <si>
    <t>4125/4126</t>
  </si>
  <si>
    <t>Usluge održavanja službenog automobila</t>
  </si>
  <si>
    <t>4127</t>
  </si>
  <si>
    <t>Usluge zaštite na radu (ispitivanje objekta)</t>
  </si>
  <si>
    <t>Usluge zaštite na radu ( godišnji poslovi zaštite na radu)</t>
  </si>
  <si>
    <t>4130/4131</t>
  </si>
  <si>
    <t>Registracija službenog automobila</t>
  </si>
  <si>
    <t>4140</t>
  </si>
  <si>
    <t>4143/4144</t>
  </si>
  <si>
    <t xml:space="preserve">Operativni najam službenog vozila </t>
  </si>
  <si>
    <t>Usluge web sjedišta (hosting e-pisarnice, Internet stranica inkubatora i PCKZŽ)</t>
  </si>
  <si>
    <t>41492</t>
  </si>
  <si>
    <t>Usluge web sjedišta hosting Invest in Zagorje</t>
  </si>
  <si>
    <t>4150</t>
  </si>
  <si>
    <t>Troškovi promidžbe  (stručnjak za komunikacije na društvenim mrežama i online promociju, google ads, Meta)</t>
  </si>
  <si>
    <t>Troškovi oglašavanja putem medija-Invest in Zagorje i dr.</t>
  </si>
  <si>
    <t>Prijenos partnerima na projektu SPRINT</t>
  </si>
  <si>
    <t>4164</t>
  </si>
  <si>
    <t>Knjigovodstvene usluge</t>
  </si>
  <si>
    <t>Odvjetničke usluge</t>
  </si>
  <si>
    <t>Bilježničke usluge</t>
  </si>
  <si>
    <t>4170</t>
  </si>
  <si>
    <t>Komunalna naknada</t>
  </si>
  <si>
    <t>4171</t>
  </si>
  <si>
    <t xml:space="preserve">Odvoz smeća </t>
  </si>
  <si>
    <t>4172</t>
  </si>
  <si>
    <t>Voda i odvodnja</t>
  </si>
  <si>
    <t>4173</t>
  </si>
  <si>
    <t>Usluge održavanja okoliša (košnja trave, održavanje zelenih površina i biljaka)</t>
  </si>
  <si>
    <t>Garažiranje i parkiranje vozila</t>
  </si>
  <si>
    <t>4177</t>
  </si>
  <si>
    <t>Dimnjačarske i ekološke usluge</t>
  </si>
  <si>
    <t>4178</t>
  </si>
  <si>
    <t>Usluge zbrinjavanja otpada, deratizacija</t>
  </si>
  <si>
    <t>4180/4181</t>
  </si>
  <si>
    <t>Usluge reprezentacije - osvježenja za edukacije, konferencije, poslovni sastanci</t>
  </si>
  <si>
    <t>Usluge reprezentacije - osvježenja za radionice Kreiraj svoju budućnost</t>
  </si>
  <si>
    <t>KZŽ - Kreiraj svoju budućnost</t>
  </si>
  <si>
    <t>Usluge reprezentacije - osvježenja za edukacije Health IT Akademija</t>
  </si>
  <si>
    <t>Usluge reprezentacije- osvježenja za događanja u okviru projekta SPRINT</t>
  </si>
  <si>
    <t>Usluge reprezentacije - Invest in Zagorje</t>
  </si>
  <si>
    <t>Usluge reprezentacije - Hamag Bicro radionice</t>
  </si>
  <si>
    <t>4197</t>
  </si>
  <si>
    <t>Trošak autoputa, tunela i mostarina</t>
  </si>
  <si>
    <t>ZEZ faza II_ITU</t>
  </si>
  <si>
    <t>43</t>
  </si>
  <si>
    <t>Amortizacija materijalne i namaterijalne imovine</t>
  </si>
  <si>
    <t>44</t>
  </si>
  <si>
    <t>VRIJEDNOSNO USKLAĐENJE DUGOTRAJNE I KRATKOTRAJNE IMOVINE</t>
  </si>
  <si>
    <t>Vrijednosna usklađivanja zastarjelih potraživanja</t>
  </si>
  <si>
    <t>46</t>
  </si>
  <si>
    <t>4600, 4602, 4605, 4606</t>
  </si>
  <si>
    <t>Troškovi službenih putovanja (dnevice, uporaba vl.automobila, troškovi noćenja, ostali troškovi)</t>
  </si>
  <si>
    <t>4610</t>
  </si>
  <si>
    <t>Troškovi prijevoza na posao i s posla</t>
  </si>
  <si>
    <t>4615</t>
  </si>
  <si>
    <t xml:space="preserve">Darovi djeci, potpore za novorođenče i sl. potpore </t>
  </si>
  <si>
    <t>4616</t>
  </si>
  <si>
    <t>Prigodne nagrade (božićnice, uskrsnice, dar u naravi,  regres za god. odmor, jubilarne nagrade i sl.)</t>
  </si>
  <si>
    <t>Popotre u slučaju bolesti, smrti…</t>
  </si>
  <si>
    <t>Trošak prehrane</t>
  </si>
  <si>
    <t>Promotivni materijali</t>
  </si>
  <si>
    <t>Promotivni materijali Invest in Zagorje</t>
  </si>
  <si>
    <t>4642</t>
  </si>
  <si>
    <t>Premije osiguranja prometnih sredstava (uključivo i kasko)</t>
  </si>
  <si>
    <t>4644</t>
  </si>
  <si>
    <t>Premije dopunskog i dodatnog zdravstvenog osiguranja</t>
  </si>
  <si>
    <t>Premije osiguranja rizik posla</t>
  </si>
  <si>
    <t>4650</t>
  </si>
  <si>
    <t>Troškovi platnog prometa</t>
  </si>
  <si>
    <t>4660</t>
  </si>
  <si>
    <t>Članarine komori (HGK ili HOK) i dopr. za javne ovlasti</t>
  </si>
  <si>
    <t>Članarina HUP, Udruga HRIF, CroAi, Ebn, Crostartup</t>
  </si>
  <si>
    <t>4684</t>
  </si>
  <si>
    <t>Trošak HRT pretplate</t>
  </si>
  <si>
    <t>4685</t>
  </si>
  <si>
    <t>Troškovi licenciranih prava (aplikacije za uredsko poslovanje, servisi za virtualne sastanke i komunikacijske platforme, aplikacija za pripremu i slanje newslettera)</t>
  </si>
  <si>
    <t>Opće obrazovanje-edukacije djelatnika</t>
  </si>
  <si>
    <t>4691</t>
  </si>
  <si>
    <t>Troškovi za priručnike, časopise i stručnu literaturu</t>
  </si>
  <si>
    <t>Troškovi obveznih liječničkih pregleda radnika</t>
  </si>
  <si>
    <t xml:space="preserve">Ostali nematerijalni troškovi </t>
  </si>
  <si>
    <t>47</t>
  </si>
  <si>
    <t>FINANCIJSKI TROŠKOVI</t>
  </si>
  <si>
    <t>4741</t>
  </si>
  <si>
    <t>Zatezne kamate na poreze, doprinose i dr. davanja</t>
  </si>
  <si>
    <t>4750</t>
  </si>
  <si>
    <t>Negativne tečajne razlike iz obveza za nabave u inozemstvu</t>
  </si>
  <si>
    <t>4752</t>
  </si>
  <si>
    <t>Negativne tečajne razlike iz potraživanja u inozemstvu</t>
  </si>
  <si>
    <t>48</t>
  </si>
  <si>
    <t>Ostali nespomenuti poslovni troškovi</t>
  </si>
  <si>
    <t>Opis prihoda</t>
  </si>
  <si>
    <t>PRIHODI</t>
  </si>
  <si>
    <t>75</t>
  </si>
  <si>
    <t>PRIHODI OD PRODAJE PROIZVODA I USLUGA</t>
  </si>
  <si>
    <t xml:space="preserve">Prihodi od prodaje proizvoda i usluga   </t>
  </si>
  <si>
    <t>7510</t>
  </si>
  <si>
    <t>Prihodi od pružanja usluga-upravljanje PTI</t>
  </si>
  <si>
    <t>Prihodi od pružanja usluga-aktivnosti rada PCKZŽ</t>
  </si>
  <si>
    <t>Prihodi od pružanja usluga- zakup centar za robotiku</t>
  </si>
  <si>
    <t>Prihodi od pružanja usluga- zakup inkubacijskih prostora</t>
  </si>
  <si>
    <t>Prihodi od pružanja usluga- zakup Hamag</t>
  </si>
  <si>
    <t>Prihodi od pružanja usluga-zakup dvorane</t>
  </si>
  <si>
    <t>Prihodi od pružanja usluga-zakup coworking prostora</t>
  </si>
  <si>
    <t>Prihodi od pružanja usluga-virtual office</t>
  </si>
  <si>
    <t>Prihodi od pružanja usluga-prefakturiranje režija</t>
  </si>
  <si>
    <t>Prihodi od pružanja usluga-poduzetništvo priprema projekata</t>
  </si>
  <si>
    <t>Prihodi od pružanja usluga-poslovni planovi/krediti/studije</t>
  </si>
  <si>
    <t>Prihodi od pružanja usluga-poduzetništvo provedba projekata</t>
  </si>
  <si>
    <t>Prihodi od pružanja usluga-poduzetništvo provedba projekata-SPRINT</t>
  </si>
  <si>
    <t>Prihodi od pružanja usluga-poduzetništvo provedba projekata-ZEZ</t>
  </si>
  <si>
    <t>Prihodi od pružanja usluga-ruralni razvoj priprema projekata</t>
  </si>
  <si>
    <t>Prihodi od pružanja usluga-ruralni razvoj provedba projekata</t>
  </si>
  <si>
    <t>Prihodi od prodaje usluga EU</t>
  </si>
  <si>
    <t>Prihodi od pružanja usluga EU</t>
  </si>
  <si>
    <t>78</t>
  </si>
  <si>
    <t xml:space="preserve">OSTALI POSLOVNI I IZVANREDNI PRIHODI </t>
  </si>
  <si>
    <t>Prihodi od dugoročnih rezerviranja</t>
  </si>
  <si>
    <t>Prihodi od naknadno naplaćenih potraživanja</t>
  </si>
  <si>
    <t>Prihodi od refundacija Mreža Bond (sl.putovanja)</t>
  </si>
  <si>
    <t>Prihodi od refundacija Mreža Bond (edukacije)</t>
  </si>
  <si>
    <t>Prihod od refundacuija KZŽ - Kreiraj svoju budućnost</t>
  </si>
  <si>
    <t>Prihod po zahtjevu za nadoknadom sredstava - ZEZ</t>
  </si>
  <si>
    <t>77</t>
  </si>
  <si>
    <t>FINANCIJSKI PRIHODI</t>
  </si>
  <si>
    <t>7710</t>
  </si>
  <si>
    <t>Pozitivne tečajne razlike</t>
  </si>
  <si>
    <t>79</t>
  </si>
  <si>
    <t>RAZLIKA PRIHODA I RASHODA FINANCIJSKE GODINE</t>
  </si>
  <si>
    <t>Erste zaklada</t>
  </si>
  <si>
    <t>Prihod od pružanja usluga-E učionica</t>
  </si>
  <si>
    <t>Troškovi rezerviranja za godišnje odmore</t>
  </si>
  <si>
    <t>REZERVIRANJA</t>
  </si>
  <si>
    <t xml:space="preserve">Autorski ugovori </t>
  </si>
  <si>
    <t>Prihodi od pružanja usluga-Health IT akademija</t>
  </si>
  <si>
    <t>Prihodi od refundacija EBN (službena putovanja)</t>
  </si>
  <si>
    <t>4120/ 41202</t>
  </si>
  <si>
    <t>Plan 2026.</t>
  </si>
  <si>
    <t>Savez Alpe Jadran</t>
  </si>
  <si>
    <t xml:space="preserve">Ostale vanjske usluge-SPRINT </t>
  </si>
  <si>
    <t>Usluge reprezentacije - projekt MARC</t>
  </si>
  <si>
    <t>Prihod po zahtjevu za nadoknadom sredstava_AAA</t>
  </si>
  <si>
    <t>Prihodi od državnih potpora - HZZ Health IT Akademija 5</t>
  </si>
  <si>
    <t>Prihodi od kamata</t>
  </si>
  <si>
    <t xml:space="preserve">Usluga održavanja web platforme Invest in Zagorje </t>
  </si>
  <si>
    <t>Usluga održavanja GIS</t>
  </si>
  <si>
    <t>Amortizacija nematerijalne imovine _GIS dio, VR dio</t>
  </si>
  <si>
    <t>Ostale vanjske usluge-Invest in Zagorje (voditelj, panelisti)</t>
  </si>
  <si>
    <t>KZŽ - aktivnosti rada-AAA</t>
  </si>
  <si>
    <t>Vlastiti prihod/tržište-AAA</t>
  </si>
  <si>
    <t>Vlastiti prihod/tržište-She Creates Change</t>
  </si>
  <si>
    <t>EU-She Creates Change</t>
  </si>
  <si>
    <t>Zakupnine - oprema  (pozornica, tehnička oprema)</t>
  </si>
  <si>
    <t>Usluge reprezentacije - projekt She Creates Change</t>
  </si>
  <si>
    <t>Članarina EIT</t>
  </si>
  <si>
    <t>Prihod po zahtjevu za nadoknadom sredstava_She Creates Change</t>
  </si>
  <si>
    <t>Prihodi od državnih potpora - HZZ Health IT Akademija 4</t>
  </si>
  <si>
    <t>Vanjski stručnjaci- predavač Health IT edukacije-5 generacija</t>
  </si>
  <si>
    <t>Ostali vanjski troškovi - usluge psihološko testiranje prilikom postupka zapošljavanja, kotizacije</t>
  </si>
  <si>
    <t>Ostali vanjski troškovi - troškovi smještaja i putnih troškva za mentore</t>
  </si>
  <si>
    <t>Prihod od sponzorstva po projektu She Creates Change</t>
  </si>
  <si>
    <t>Vanjski stručnjaci - projekt Griz Biz</t>
  </si>
  <si>
    <t>Vanjski stručnjaci - projekt FinFest</t>
  </si>
  <si>
    <t>Vanjski stručnjaci -  Konferencija Invest in Zagorje</t>
  </si>
  <si>
    <t>Usluga održavanja web stranice - She Creates Change</t>
  </si>
  <si>
    <t>Ostali vanjski troškovi -smještaj sudionika bootcapma u sklopu projekta She Creates Change</t>
  </si>
  <si>
    <t>Zakupnine - najamnine nekretnina, dvorane</t>
  </si>
  <si>
    <t>Troškovi promidžbe - projekt AAA</t>
  </si>
  <si>
    <t xml:space="preserve">Usluga održavanja web stranice -program  MARC </t>
  </si>
  <si>
    <t>Vanjski stručnjaci - projekt Girls Code Camp</t>
  </si>
  <si>
    <t>KZŽ UPRAVLJANJE INKUBATOROM</t>
  </si>
  <si>
    <t>KONZORCIJ SPRINT</t>
  </si>
  <si>
    <t>KONZORCIJ SPRINT- partneri</t>
  </si>
  <si>
    <t>VLASTITI PRIHOD</t>
  </si>
  <si>
    <t>HAMAG BICRO</t>
  </si>
  <si>
    <t>HEALTH IT</t>
  </si>
  <si>
    <t>ZEZ faza II</t>
  </si>
  <si>
    <t xml:space="preserve">KZŽ-AKTIVNOSTI </t>
  </si>
  <si>
    <t>MARC Imapct</t>
  </si>
  <si>
    <t>VRIJEDNOSNO USKLAĐENJE POTRAŽIVANJA, TROŠKOVI REZERVIRANJA</t>
  </si>
  <si>
    <t>udio u rashodima</t>
  </si>
  <si>
    <t>Upravljanje plaća</t>
  </si>
  <si>
    <t>Aktivnosti plaća</t>
  </si>
  <si>
    <t>SAVEZ ALPE ADRIA</t>
  </si>
  <si>
    <t>EU PROJEKT SHE CREATES CHANGE</t>
  </si>
  <si>
    <t>Realizacija 30.06.</t>
  </si>
  <si>
    <t>Ostale vanjske usluge-stručnjak za izradu VR zona</t>
  </si>
  <si>
    <t>PLAN</t>
  </si>
  <si>
    <t>POLUGODIŠNJE</t>
  </si>
  <si>
    <t xml:space="preserve"> </t>
  </si>
  <si>
    <t>Prihodi od pružanja usluga EU-prefakturiranja troškova</t>
  </si>
  <si>
    <t>Vlastiti prihod/tržište-Marc</t>
  </si>
  <si>
    <t>Vlastiti prihod/tržište-Marc 1</t>
  </si>
  <si>
    <t>Prihodi od pružanja usluga-poduzetništvo provedba projekata-MARC 2</t>
  </si>
  <si>
    <t>Erste zaklada/Marc 2</t>
  </si>
  <si>
    <t>Promjena</t>
  </si>
  <si>
    <t>I. Izmjena</t>
  </si>
  <si>
    <t>Broj obrazloženja</t>
  </si>
  <si>
    <t>1.</t>
  </si>
  <si>
    <t>4.</t>
  </si>
  <si>
    <t>7.</t>
  </si>
  <si>
    <t>2.</t>
  </si>
  <si>
    <t>6.</t>
  </si>
  <si>
    <t>3.</t>
  </si>
  <si>
    <t>5.</t>
  </si>
  <si>
    <t>9.</t>
  </si>
  <si>
    <t>Prihod od pružanja usluga-poslovne zone</t>
  </si>
  <si>
    <t>8.</t>
  </si>
  <si>
    <t xml:space="preserve">Prihod po zahtjevu za nadoknadom sredstava_Marc Impact </t>
  </si>
  <si>
    <t>10.</t>
  </si>
  <si>
    <t>Prihodi po zahtjevu za nadokandom sredstava_Nacionalna zaklada</t>
  </si>
  <si>
    <t>Nacionalna zaklada</t>
  </si>
  <si>
    <t>11.</t>
  </si>
  <si>
    <t>12.</t>
  </si>
  <si>
    <t>Ostale vanjske usluge - program MARC 2</t>
  </si>
  <si>
    <t>Ostale vanjske usluge - program MARC 1</t>
  </si>
  <si>
    <t>Usluga održavanja web stranice - Laboratorij društvenog poduzetništva</t>
  </si>
  <si>
    <t>Troškovi promidžbe - MARC 1</t>
  </si>
  <si>
    <t>Troškovi promidžbe - MARC 2</t>
  </si>
  <si>
    <t>Naknada za uređenje voda</t>
  </si>
  <si>
    <t>Usluge reprezentacije- projekt FinFest</t>
  </si>
  <si>
    <t>13.</t>
  </si>
  <si>
    <t>14.</t>
  </si>
  <si>
    <t>15.</t>
  </si>
  <si>
    <t>Trošak licence - komunikacijska platforma MARC 2</t>
  </si>
  <si>
    <t>16.</t>
  </si>
  <si>
    <t>17.</t>
  </si>
  <si>
    <t>Usluge sudskog vještaka</t>
  </si>
  <si>
    <t>18.</t>
  </si>
  <si>
    <t>19.</t>
  </si>
  <si>
    <t>20.</t>
  </si>
  <si>
    <t>Promotivni materijali PTI</t>
  </si>
  <si>
    <t>Ostale vanjske usluge-Horizon projekt</t>
  </si>
  <si>
    <t>21.</t>
  </si>
  <si>
    <t>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</si>
</sst>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9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4" fontId="0" fillId="0" borderId="1" xfId="0" applyNumberFormat="1" applyBorder="1"/>
    <xf numFmtId="0" fontId="0" fillId="2" borderId="1" xfId="0" applyFill="1" applyBorder="1"/>
    <xf numFmtId="4" fontId="3" fillId="2" borderId="1" xfId="0" applyNumberFormat="1" applyFont="1" applyFill="1" applyBorder="1" applyAlignment="1">
      <alignment horizontal="right"/>
    </xf>
    <xf numFmtId="4" fontId="0" fillId="0" borderId="0" xfId="0" applyNumberFormat="1"/>
    <xf numFmtId="10" fontId="0" fillId="0" borderId="0" xfId="1" applyNumberFormat="1" applyFont="1"/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2" xfId="0" applyBorder="1" applyAlignment="1">
      <alignment horizontal="left" vertical="center"/>
    </xf>
    <xf numFmtId="164" fontId="0" fillId="0" borderId="0" xfId="1" applyNumberFormat="1" applyFont="1"/>
    <xf numFmtId="0" fontId="0" fillId="0" borderId="3" xfId="0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4" fontId="0" fillId="0" borderId="1" xfId="0" applyNumberForma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4" fontId="0" fillId="0" borderId="1" xfId="0" applyNumberFormat="1" applyBorder="1" applyAlignment="1">
      <alignment horizontal="right" vertical="center"/>
    </xf>
    <xf numFmtId="0" fontId="0" fillId="2" borderId="1" xfId="0" applyFill="1" applyBorder="1" applyAlignment="1">
      <alignment horizontal="left"/>
    </xf>
    <xf numFmtId="0" fontId="4" fillId="2" borderId="1" xfId="0" applyFont="1" applyFill="1" applyBorder="1"/>
    <xf numFmtId="4" fontId="2" fillId="2" borderId="1" xfId="0" applyNumberFormat="1" applyFont="1" applyFill="1" applyBorder="1"/>
    <xf numFmtId="0" fontId="0" fillId="0" borderId="1" xfId="0" applyBorder="1" applyAlignment="1">
      <alignment wrapText="1"/>
    </xf>
    <xf numFmtId="2" fontId="0" fillId="0" borderId="1" xfId="0" applyNumberFormat="1" applyBorder="1"/>
    <xf numFmtId="4" fontId="2" fillId="0" borderId="1" xfId="0" applyNumberFormat="1" applyFont="1" applyBorder="1"/>
    <xf numFmtId="4" fontId="0" fillId="2" borderId="1" xfId="0" applyNumberFormat="1" applyFill="1" applyBorder="1"/>
    <xf numFmtId="0" fontId="0" fillId="3" borderId="1" xfId="0" applyFill="1" applyBorder="1" applyAlignment="1">
      <alignment horizontal="left"/>
    </xf>
    <xf numFmtId="0" fontId="4" fillId="3" borderId="1" xfId="0" applyFont="1" applyFill="1" applyBorder="1"/>
    <xf numFmtId="0" fontId="0" fillId="3" borderId="1" xfId="0" applyFill="1" applyBorder="1"/>
    <xf numFmtId="4" fontId="0" fillId="3" borderId="1" xfId="0" applyNumberFormat="1" applyFill="1" applyBorder="1"/>
    <xf numFmtId="0" fontId="4" fillId="0" borderId="2" xfId="0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3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0" borderId="5" xfId="0" applyBorder="1"/>
    <xf numFmtId="0" fontId="0" fillId="0" borderId="0" xfId="0" applyAlignment="1">
      <alignment wrapText="1"/>
    </xf>
    <xf numFmtId="2" fontId="0" fillId="0" borderId="0" xfId="0" applyNumberFormat="1"/>
    <xf numFmtId="0" fontId="2" fillId="4" borderId="1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/>
    </xf>
    <xf numFmtId="4" fontId="0" fillId="2" borderId="1" xfId="0" applyNumberFormat="1" applyFill="1" applyBorder="1" applyAlignment="1">
      <alignment horizontal="center"/>
    </xf>
    <xf numFmtId="4" fontId="0" fillId="3" borderId="1" xfId="0" applyNumberForma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4" fontId="0" fillId="0" borderId="6" xfId="0" applyNumberFormat="1" applyBorder="1"/>
    <xf numFmtId="0" fontId="4" fillId="0" borderId="1" xfId="0" applyFont="1" applyBorder="1" applyAlignment="1">
      <alignment horizontal="left" wrapText="1"/>
    </xf>
    <xf numFmtId="0" fontId="4" fillId="0" borderId="2" xfId="0" applyFont="1" applyBorder="1"/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vertical="center"/>
    </xf>
    <xf numFmtId="4" fontId="0" fillId="0" borderId="4" xfId="0" applyNumberFormat="1" applyBorder="1" applyAlignment="1">
      <alignment vertical="center"/>
    </xf>
    <xf numFmtId="4" fontId="0" fillId="0" borderId="1" xfId="0" applyNumberFormat="1" applyBorder="1" applyAlignment="1">
      <alignment horizontal="right"/>
    </xf>
    <xf numFmtId="0" fontId="4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4" fontId="0" fillId="0" borderId="1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4" fontId="0" fillId="0" borderId="1" xfId="0" applyNumberFormat="1" applyBorder="1" applyAlignment="1">
      <alignment horizontal="right" vertical="center"/>
    </xf>
    <xf numFmtId="4" fontId="0" fillId="0" borderId="2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" fontId="0" fillId="0" borderId="2" xfId="0" applyNumberFormat="1" applyBorder="1" applyAlignment="1">
      <alignment horizontal="right" vertical="center"/>
    </xf>
    <xf numFmtId="4" fontId="0" fillId="0" borderId="3" xfId="0" applyNumberFormat="1" applyBorder="1" applyAlignment="1">
      <alignment horizontal="right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4" fontId="0" fillId="0" borderId="4" xfId="0" applyNumberFormat="1" applyBorder="1" applyAlignment="1">
      <alignment horizontal="center" vertical="center"/>
    </xf>
    <xf numFmtId="0" fontId="0" fillId="2" borderId="0" xfId="0" applyFill="1" applyAlignment="1">
      <alignment horizontal="center"/>
    </xf>
  </cellXfs>
  <cellStyles count="2">
    <cellStyle name="Normalno" xfId="0" builtinId="0"/>
    <cellStyle name="Postota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866025449350478"/>
          <c:y val="9.8447583757912613E-2"/>
          <c:w val="0.51846008173029001"/>
          <c:h val="0.80310483248417475"/>
        </c:manualLayout>
      </c:layout>
      <c:pieChart>
        <c:varyColors val="1"/>
        <c:ser>
          <c:idx val="0"/>
          <c:order val="0"/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val>
            <c:numRef>
              <c:f>'I. Izmjena'!$L$6:$L$16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'I. Izmjena'!$J$6:$J$16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D300-4120-B030-1EB7B74F9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val>
            <c:numRef>
              <c:f>'I. Izmjena'!$L$56:$L$61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'I. Izmjena'!$J$56:$J$61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EE5E-45AC-B110-57CF1BB2A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865187</xdr:colOff>
      <xdr:row>19</xdr:row>
      <xdr:rowOff>57150</xdr:rowOff>
    </xdr:from>
    <xdr:to>
      <xdr:col>13</xdr:col>
      <xdr:colOff>44450</xdr:colOff>
      <xdr:row>45</xdr:row>
      <xdr:rowOff>106361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C53A3F1-67D2-B01C-F6EE-E3D4718EB8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69850</xdr:colOff>
      <xdr:row>64</xdr:row>
      <xdr:rowOff>93662</xdr:rowOff>
    </xdr:from>
    <xdr:to>
      <xdr:col>13</xdr:col>
      <xdr:colOff>233362</xdr:colOff>
      <xdr:row>81</xdr:row>
      <xdr:rowOff>354010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FA6BB01D-2E83-EAE0-F896-7B3E7D3373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2500B-7DA8-4B77-B16B-1610DECA15BB}">
  <sheetPr>
    <pageSetUpPr fitToPage="1"/>
  </sheetPr>
  <dimension ref="A2:R219"/>
  <sheetViews>
    <sheetView tabSelected="1" view="pageBreakPreview" topLeftCell="A206" zoomScaleNormal="100" zoomScaleSheetLayoutView="100" workbookViewId="0">
      <selection activeCell="I8" sqref="I8"/>
    </sheetView>
  </sheetViews>
  <sheetFormatPr defaultRowHeight="14.5" x14ac:dyDescent="0.35"/>
  <cols>
    <col min="1" max="1" width="10.26953125" customWidth="1"/>
    <col min="2" max="2" width="61.08984375" customWidth="1"/>
    <col min="3" max="3" width="18.1796875" customWidth="1"/>
    <col min="4" max="4" width="14.54296875" customWidth="1"/>
    <col min="5" max="5" width="16.1796875" hidden="1" customWidth="1"/>
    <col min="6" max="6" width="14.26953125" customWidth="1"/>
    <col min="7" max="7" width="14.36328125" customWidth="1"/>
    <col min="8" max="8" width="12.08984375" customWidth="1"/>
    <col min="9" max="9" width="12.1796875" customWidth="1"/>
    <col min="10" max="10" width="36.26953125" hidden="1" customWidth="1"/>
    <col min="11" max="11" width="19.6328125" hidden="1" customWidth="1"/>
    <col min="12" max="12" width="0" hidden="1" customWidth="1"/>
    <col min="13" max="13" width="18.7265625" hidden="1" customWidth="1"/>
    <col min="14" max="14" width="11.7265625" hidden="1" customWidth="1"/>
    <col min="15" max="15" width="38" hidden="1" customWidth="1"/>
    <col min="16" max="16" width="14.453125" hidden="1" customWidth="1"/>
    <col min="17" max="17" width="13.08984375" hidden="1" customWidth="1"/>
    <col min="18" max="18" width="19.54296875" hidden="1" customWidth="1"/>
    <col min="19" max="20" width="0" hidden="1" customWidth="1"/>
  </cols>
  <sheetData>
    <row r="2" spans="1:18" ht="29" x14ac:dyDescent="0.35">
      <c r="A2" s="36" t="s">
        <v>0</v>
      </c>
      <c r="B2" s="36" t="s">
        <v>136</v>
      </c>
      <c r="C2" s="36" t="s">
        <v>2</v>
      </c>
      <c r="D2" s="37" t="s">
        <v>182</v>
      </c>
      <c r="E2" s="37" t="s">
        <v>230</v>
      </c>
      <c r="F2" s="41" t="s">
        <v>240</v>
      </c>
      <c r="G2" s="37" t="s">
        <v>241</v>
      </c>
      <c r="H2" s="41" t="s">
        <v>242</v>
      </c>
    </row>
    <row r="3" spans="1:18" x14ac:dyDescent="0.35">
      <c r="A3" s="2">
        <v>7</v>
      </c>
      <c r="B3" s="1" t="s">
        <v>137</v>
      </c>
      <c r="C3" s="1"/>
      <c r="D3" s="26">
        <f>D4+D31+D46</f>
        <v>1020428.11</v>
      </c>
      <c r="E3" s="26">
        <f>E4+E31+E46</f>
        <v>519572.36000000004</v>
      </c>
      <c r="F3" s="26">
        <f>F4+F31+F46</f>
        <v>69256.010000000009</v>
      </c>
      <c r="G3" s="26">
        <f>G4+G31+G46</f>
        <v>1089684.1199999999</v>
      </c>
      <c r="H3" s="44"/>
      <c r="I3" s="6"/>
    </row>
    <row r="4" spans="1:18" x14ac:dyDescent="0.35">
      <c r="A4" s="4" t="s">
        <v>138</v>
      </c>
      <c r="B4" s="4" t="s">
        <v>139</v>
      </c>
      <c r="C4" s="4"/>
      <c r="D4" s="27">
        <f>D5+D28</f>
        <v>772584.36</v>
      </c>
      <c r="E4" s="27">
        <f>E5+E28</f>
        <v>406155.97000000003</v>
      </c>
      <c r="F4" s="27">
        <f>F5+F28</f>
        <v>56393.530000000006</v>
      </c>
      <c r="G4" s="27">
        <f>G5+G28</f>
        <v>828977.8899999999</v>
      </c>
      <c r="H4" s="45"/>
      <c r="J4" s="88" t="s">
        <v>232</v>
      </c>
      <c r="K4" s="88"/>
      <c r="L4" s="88"/>
      <c r="M4" s="88"/>
      <c r="O4" s="88" t="s">
        <v>233</v>
      </c>
      <c r="P4" s="88"/>
      <c r="Q4" s="88"/>
      <c r="R4" s="88"/>
    </row>
    <row r="5" spans="1:18" x14ac:dyDescent="0.35">
      <c r="A5" s="28">
        <v>751</v>
      </c>
      <c r="B5" s="29" t="s">
        <v>140</v>
      </c>
      <c r="C5" s="30"/>
      <c r="D5" s="31">
        <f>SUM(D6:D27)</f>
        <v>772384.36</v>
      </c>
      <c r="E5" s="31">
        <f>SUM(E6:E27)</f>
        <v>402827.15</v>
      </c>
      <c r="F5" s="31">
        <f>SUM(F6:F27)</f>
        <v>53264.710000000006</v>
      </c>
      <c r="G5" s="31">
        <f>SUM(G6:G27)</f>
        <v>825649.07</v>
      </c>
      <c r="H5" s="46"/>
      <c r="M5" t="s">
        <v>225</v>
      </c>
      <c r="R5" t="s">
        <v>225</v>
      </c>
    </row>
    <row r="6" spans="1:18" x14ac:dyDescent="0.35">
      <c r="A6" s="12" t="s">
        <v>141</v>
      </c>
      <c r="B6" s="12" t="s">
        <v>142</v>
      </c>
      <c r="C6" s="10" t="s">
        <v>7</v>
      </c>
      <c r="D6" s="3">
        <v>197080</v>
      </c>
      <c r="E6" s="3">
        <v>98520</v>
      </c>
      <c r="F6" s="3"/>
      <c r="G6" s="3">
        <v>197080</v>
      </c>
      <c r="H6" s="42"/>
      <c r="J6" t="s">
        <v>215</v>
      </c>
      <c r="K6" s="6">
        <f>D6</f>
        <v>197080</v>
      </c>
      <c r="L6" s="7">
        <f t="shared" ref="L6:L16" si="0">K6/$K$17</f>
        <v>0.19313462464298439</v>
      </c>
      <c r="M6" s="40">
        <f>K6/D55*100</f>
        <v>19.397552835521537</v>
      </c>
      <c r="O6" t="s">
        <v>215</v>
      </c>
      <c r="P6" s="6">
        <f>G6</f>
        <v>197080</v>
      </c>
      <c r="Q6" s="7">
        <f t="shared" ref="Q6:Q16" si="1">P6/$P$17</f>
        <v>0.24653231989552477</v>
      </c>
      <c r="R6" s="40">
        <f>P6/E55*100</f>
        <v>36.04590603793617</v>
      </c>
    </row>
    <row r="7" spans="1:18" x14ac:dyDescent="0.35">
      <c r="A7" s="11">
        <v>7510</v>
      </c>
      <c r="B7" s="12" t="s">
        <v>143</v>
      </c>
      <c r="C7" s="10" t="s">
        <v>35</v>
      </c>
      <c r="D7" s="3">
        <v>133200</v>
      </c>
      <c r="E7" s="3">
        <v>96680</v>
      </c>
      <c r="F7" s="3"/>
      <c r="G7" s="3">
        <v>133200</v>
      </c>
      <c r="H7" s="42"/>
      <c r="J7" t="s">
        <v>222</v>
      </c>
      <c r="K7" s="6">
        <f>133200+900</f>
        <v>134100</v>
      </c>
      <c r="L7" s="7">
        <f t="shared" si="0"/>
        <v>0.13141543111743562</v>
      </c>
      <c r="M7" s="40">
        <f>K7/D55*100</f>
        <v>13.198761088103501</v>
      </c>
      <c r="O7" t="s">
        <v>222</v>
      </c>
      <c r="P7" s="6">
        <f>G7+G37</f>
        <v>134400</v>
      </c>
      <c r="Q7" s="7">
        <f t="shared" si="1"/>
        <v>0.16812433424984033</v>
      </c>
      <c r="R7" s="40">
        <f>P7/E55*100</f>
        <v>24.581742295000105</v>
      </c>
    </row>
    <row r="8" spans="1:18" x14ac:dyDescent="0.35">
      <c r="A8" s="11">
        <v>7510</v>
      </c>
      <c r="B8" s="12" t="s">
        <v>144</v>
      </c>
      <c r="C8" s="10" t="s">
        <v>10</v>
      </c>
      <c r="D8" s="3">
        <v>10193.16</v>
      </c>
      <c r="E8" s="3">
        <v>0</v>
      </c>
      <c r="F8" s="3">
        <v>-7644.87</v>
      </c>
      <c r="G8" s="3">
        <f>10193.16-7644.87</f>
        <v>2548.29</v>
      </c>
      <c r="H8" s="42" t="s">
        <v>243</v>
      </c>
      <c r="J8" t="s">
        <v>216</v>
      </c>
      <c r="K8" s="6">
        <f>D19-K9</f>
        <v>38700</v>
      </c>
      <c r="L8" s="7">
        <f t="shared" si="0"/>
        <v>3.7925258644629069E-2</v>
      </c>
      <c r="M8" s="40">
        <f>K8/D55*100</f>
        <v>3.809038434821816</v>
      </c>
      <c r="O8" t="s">
        <v>216</v>
      </c>
      <c r="P8" s="6">
        <f>G19-P9</f>
        <v>38700</v>
      </c>
      <c r="Q8" s="7">
        <f t="shared" si="1"/>
        <v>4.8410801603190626E-2</v>
      </c>
      <c r="R8" s="40">
        <f>P8/E55*100</f>
        <v>7.0782249019085128</v>
      </c>
    </row>
    <row r="9" spans="1:18" x14ac:dyDescent="0.35">
      <c r="A9" s="11">
        <v>7510</v>
      </c>
      <c r="B9" s="12" t="s">
        <v>145</v>
      </c>
      <c r="C9" s="10" t="s">
        <v>10</v>
      </c>
      <c r="D9" s="3">
        <v>43900</v>
      </c>
      <c r="E9" s="3">
        <f>18132.96+2980.38</f>
        <v>21113.34</v>
      </c>
      <c r="F9" s="3"/>
      <c r="G9" s="3">
        <v>43900</v>
      </c>
      <c r="H9" s="42"/>
      <c r="J9" t="s">
        <v>217</v>
      </c>
      <c r="K9" s="6">
        <f>D126</f>
        <v>127100</v>
      </c>
      <c r="L9" s="7">
        <f t="shared" si="0"/>
        <v>0.12455556521272233</v>
      </c>
      <c r="M9" s="40">
        <f>K9/D55*100</f>
        <v>12.509787727799813</v>
      </c>
      <c r="O9" t="s">
        <v>217</v>
      </c>
      <c r="P9" s="6">
        <f>G126</f>
        <v>127100</v>
      </c>
      <c r="Q9" s="7">
        <f t="shared" si="1"/>
        <v>0.15899258097585345</v>
      </c>
      <c r="R9" s="40">
        <f>P9/E55*100</f>
        <v>23.246573256655605</v>
      </c>
    </row>
    <row r="10" spans="1:18" x14ac:dyDescent="0.35">
      <c r="A10" s="11">
        <v>7510</v>
      </c>
      <c r="B10" s="12" t="s">
        <v>146</v>
      </c>
      <c r="C10" s="10" t="s">
        <v>10</v>
      </c>
      <c r="D10" s="3">
        <v>976.2</v>
      </c>
      <c r="E10" s="3">
        <v>488.1</v>
      </c>
      <c r="F10" s="3"/>
      <c r="G10" s="3">
        <v>976.2</v>
      </c>
      <c r="H10" s="42"/>
      <c r="J10" t="s">
        <v>218</v>
      </c>
      <c r="K10" s="6">
        <f>280479.36+D20</f>
        <v>284354.36</v>
      </c>
      <c r="L10" s="7">
        <f t="shared" si="0"/>
        <v>0.27866182557436603</v>
      </c>
      <c r="M10" s="40">
        <f>K10/D55*100</f>
        <v>27.987511275172068</v>
      </c>
      <c r="O10" t="s">
        <v>218</v>
      </c>
      <c r="P10" s="6">
        <f>80842.25+G32-108.82+1763.31</f>
        <v>100283.94999999998</v>
      </c>
      <c r="Q10" s="7">
        <f t="shared" si="1"/>
        <v>0.1254477107864157</v>
      </c>
      <c r="R10" s="40">
        <f>P10/E55*100</f>
        <v>18.341921244231216</v>
      </c>
    </row>
    <row r="11" spans="1:18" x14ac:dyDescent="0.35">
      <c r="A11" s="11">
        <v>7510</v>
      </c>
      <c r="B11" s="12" t="s">
        <v>147</v>
      </c>
      <c r="C11" s="10" t="s">
        <v>10</v>
      </c>
      <c r="D11" s="3">
        <v>2000</v>
      </c>
      <c r="E11" s="3">
        <v>256.97000000000003</v>
      </c>
      <c r="F11" s="3"/>
      <c r="G11" s="3">
        <v>2000</v>
      </c>
      <c r="H11" s="42"/>
      <c r="J11" t="s">
        <v>219</v>
      </c>
      <c r="K11" s="6">
        <f>D34+D35</f>
        <v>13000</v>
      </c>
      <c r="L11" s="7">
        <f t="shared" si="0"/>
        <v>1.2739750965896069E-2</v>
      </c>
      <c r="M11" s="40">
        <f>K11/D55*100</f>
        <v>1.2795219548497054</v>
      </c>
      <c r="O11" t="s">
        <v>219</v>
      </c>
      <c r="P11" s="6">
        <f>G34</f>
        <v>2000</v>
      </c>
      <c r="Q11" s="7">
        <f t="shared" si="1"/>
        <v>2.5018502120511951E-3</v>
      </c>
      <c r="R11" s="40">
        <f>P11/E55*100</f>
        <v>0.36579973653273967</v>
      </c>
    </row>
    <row r="12" spans="1:18" x14ac:dyDescent="0.35">
      <c r="A12" s="11">
        <v>7510</v>
      </c>
      <c r="B12" s="12" t="s">
        <v>148</v>
      </c>
      <c r="C12" s="10" t="s">
        <v>10</v>
      </c>
      <c r="D12" s="3">
        <v>23000</v>
      </c>
      <c r="E12" s="3">
        <v>18678.66</v>
      </c>
      <c r="F12" s="3">
        <v>10000</v>
      </c>
      <c r="G12" s="3">
        <f>23000+10000</f>
        <v>33000</v>
      </c>
      <c r="H12" s="42" t="s">
        <v>246</v>
      </c>
      <c r="J12" t="s">
        <v>220</v>
      </c>
      <c r="K12" s="6">
        <v>51000</v>
      </c>
      <c r="L12" s="7">
        <f t="shared" si="0"/>
        <v>4.997902302005381E-2</v>
      </c>
      <c r="M12" s="40">
        <f>K12/D55*100</f>
        <v>5.0196630536411524</v>
      </c>
      <c r="O12" t="s">
        <v>220</v>
      </c>
      <c r="P12" s="6">
        <f>G45+G44</f>
        <v>61788.39</v>
      </c>
      <c r="Q12" s="7">
        <f t="shared" si="1"/>
        <v>7.7292648311900969E-2</v>
      </c>
      <c r="R12" s="40">
        <f>P12/E55*100</f>
        <v>11.301088391391085</v>
      </c>
    </row>
    <row r="13" spans="1:18" x14ac:dyDescent="0.35">
      <c r="A13" s="11">
        <v>7510</v>
      </c>
      <c r="B13" s="12" t="s">
        <v>149</v>
      </c>
      <c r="C13" s="10" t="s">
        <v>10</v>
      </c>
      <c r="D13" s="3">
        <v>11000</v>
      </c>
      <c r="E13" s="3">
        <v>5876.76</v>
      </c>
      <c r="F13" s="3"/>
      <c r="G13" s="3">
        <v>11000</v>
      </c>
      <c r="H13" s="42"/>
      <c r="J13" t="s">
        <v>221</v>
      </c>
      <c r="K13" s="6">
        <f>D38</f>
        <v>19000</v>
      </c>
      <c r="L13" s="7">
        <f t="shared" si="0"/>
        <v>1.8619636027078869E-2</v>
      </c>
      <c r="M13" s="40">
        <f>K13/D55*100</f>
        <v>1.8700705493957235</v>
      </c>
      <c r="O13" t="s">
        <v>221</v>
      </c>
      <c r="P13" s="6">
        <f>G38+G20</f>
        <v>14046.58</v>
      </c>
      <c r="Q13" s="7">
        <f t="shared" si="1"/>
        <v>1.7571219575797038E-2</v>
      </c>
      <c r="R13" s="40">
        <f>P13/E55*100</f>
        <v>2.5691176315930253</v>
      </c>
    </row>
    <row r="14" spans="1:18" x14ac:dyDescent="0.35">
      <c r="A14" s="11">
        <v>7510</v>
      </c>
      <c r="B14" s="12" t="s">
        <v>150</v>
      </c>
      <c r="C14" s="10" t="s">
        <v>10</v>
      </c>
      <c r="D14" s="3">
        <v>25000</v>
      </c>
      <c r="E14" s="3">
        <f>12274.76+1763.31</f>
        <v>14038.07</v>
      </c>
      <c r="F14" s="3"/>
      <c r="G14" s="3">
        <v>25000</v>
      </c>
      <c r="H14" s="42"/>
      <c r="J14" t="s">
        <v>229</v>
      </c>
      <c r="K14" s="6">
        <f>D43+D24</f>
        <v>80343.75</v>
      </c>
      <c r="L14" s="7">
        <f t="shared" si="0"/>
        <v>7.8735335897400949E-2</v>
      </c>
      <c r="M14" s="40">
        <f>K14/D55*100</f>
        <v>7.9078147738427713</v>
      </c>
      <c r="O14" t="s">
        <v>229</v>
      </c>
      <c r="P14" s="6">
        <f>G43+G24</f>
        <v>80343.75</v>
      </c>
      <c r="Q14" s="7">
        <f t="shared" si="1"/>
        <v>0.10050401398724411</v>
      </c>
      <c r="R14" s="40">
        <f>P14/E55*100</f>
        <v>14.69486129102615</v>
      </c>
    </row>
    <row r="15" spans="1:18" x14ac:dyDescent="0.35">
      <c r="A15" s="11">
        <v>7510</v>
      </c>
      <c r="B15" s="12" t="s">
        <v>151</v>
      </c>
      <c r="C15" s="10" t="s">
        <v>10</v>
      </c>
      <c r="D15" s="3">
        <f>45400-6000</f>
        <v>39400</v>
      </c>
      <c r="E15" s="3">
        <v>3300</v>
      </c>
      <c r="F15" s="3"/>
      <c r="G15" s="3">
        <f>45400-6000</f>
        <v>39400</v>
      </c>
      <c r="H15" s="42"/>
      <c r="J15" t="s">
        <v>228</v>
      </c>
      <c r="K15" s="6">
        <f>D39</f>
        <v>9720</v>
      </c>
      <c r="L15" s="7">
        <f t="shared" si="0"/>
        <v>9.5254137991161378E-3</v>
      </c>
      <c r="M15" s="40">
        <f>K15/D55*100</f>
        <v>0.95668872316454912</v>
      </c>
      <c r="O15" t="s">
        <v>228</v>
      </c>
      <c r="P15" s="6">
        <f>G39</f>
        <v>9720</v>
      </c>
      <c r="Q15" s="7">
        <f t="shared" si="1"/>
        <v>1.2158992030568808E-2</v>
      </c>
      <c r="R15" s="40">
        <f>P15/E55*100</f>
        <v>1.777786719549115</v>
      </c>
    </row>
    <row r="16" spans="1:18" x14ac:dyDescent="0.35">
      <c r="A16" s="11">
        <v>7510</v>
      </c>
      <c r="B16" s="12" t="s">
        <v>152</v>
      </c>
      <c r="C16" s="10" t="s">
        <v>10</v>
      </c>
      <c r="D16" s="3">
        <f>50000+3000+1500</f>
        <v>54500</v>
      </c>
      <c r="E16" s="3">
        <v>2900</v>
      </c>
      <c r="F16" s="3">
        <v>-5600</v>
      </c>
      <c r="G16" s="3">
        <f>50000+3000+1500-5600</f>
        <v>48900</v>
      </c>
      <c r="H16" s="42" t="s">
        <v>248</v>
      </c>
      <c r="J16" t="s">
        <v>223</v>
      </c>
      <c r="K16" s="6">
        <f>D40</f>
        <v>66030</v>
      </c>
      <c r="L16" s="7">
        <f t="shared" si="0"/>
        <v>6.470813509831673E-2</v>
      </c>
      <c r="M16" s="40">
        <f>K16/D55*100</f>
        <v>6.498987282978927</v>
      </c>
      <c r="O16" t="s">
        <v>223</v>
      </c>
      <c r="P16" s="6">
        <f>G40+G41+G29</f>
        <v>33945.700000000004</v>
      </c>
      <c r="Q16" s="7">
        <f t="shared" si="1"/>
        <v>4.2463528371613136E-2</v>
      </c>
      <c r="R16" s="40">
        <f>P16/E55*100</f>
        <v>6.2086640582097115</v>
      </c>
    </row>
    <row r="17" spans="1:16" x14ac:dyDescent="0.35">
      <c r="A17" s="11">
        <v>7510</v>
      </c>
      <c r="B17" s="12" t="s">
        <v>153</v>
      </c>
      <c r="C17" s="10" t="s">
        <v>10</v>
      </c>
      <c r="D17" s="3">
        <f>12875-3875</f>
        <v>9000</v>
      </c>
      <c r="E17" s="3">
        <f>16725-3875</f>
        <v>12850</v>
      </c>
      <c r="F17" s="3">
        <f>3850+1500+3600+4000</f>
        <v>12950</v>
      </c>
      <c r="G17" s="3">
        <f>9000+12950</f>
        <v>21950</v>
      </c>
      <c r="H17" s="42" t="s">
        <v>244</v>
      </c>
      <c r="K17" s="6">
        <f>SUM(K6:K16)</f>
        <v>1020428.11</v>
      </c>
      <c r="P17" s="6">
        <f>SUM(P6:P16)</f>
        <v>799408.36999999988</v>
      </c>
    </row>
    <row r="18" spans="1:16" x14ac:dyDescent="0.35">
      <c r="A18" s="11">
        <v>7510</v>
      </c>
      <c r="B18" s="12" t="s">
        <v>238</v>
      </c>
      <c r="C18" s="10" t="s">
        <v>239</v>
      </c>
      <c r="D18" s="3">
        <v>0</v>
      </c>
      <c r="E18" s="3">
        <v>0</v>
      </c>
      <c r="F18" s="3">
        <v>39488</v>
      </c>
      <c r="G18" s="3">
        <v>39488</v>
      </c>
      <c r="H18" s="42" t="s">
        <v>249</v>
      </c>
      <c r="K18" s="6"/>
      <c r="P18" s="6"/>
    </row>
    <row r="19" spans="1:16" x14ac:dyDescent="0.35">
      <c r="A19" s="11">
        <v>7510</v>
      </c>
      <c r="B19" s="12" t="s">
        <v>154</v>
      </c>
      <c r="C19" s="10" t="s">
        <v>10</v>
      </c>
      <c r="D19" s="3">
        <v>165800</v>
      </c>
      <c r="E19" s="3">
        <f>66283.67+53335</f>
        <v>119618.67</v>
      </c>
      <c r="F19" s="3"/>
      <c r="G19" s="3">
        <v>165800</v>
      </c>
      <c r="H19" s="42"/>
    </row>
    <row r="20" spans="1:16" x14ac:dyDescent="0.35">
      <c r="A20" s="11">
        <v>7510</v>
      </c>
      <c r="B20" s="12" t="s">
        <v>155</v>
      </c>
      <c r="C20" s="10" t="s">
        <v>10</v>
      </c>
      <c r="D20" s="3">
        <v>3875</v>
      </c>
      <c r="E20" s="3">
        <f>3875+671.58</f>
        <v>4546.58</v>
      </c>
      <c r="F20" s="3">
        <v>671.58</v>
      </c>
      <c r="G20" s="3">
        <f>3875+671.58</f>
        <v>4546.58</v>
      </c>
      <c r="H20" s="42" t="s">
        <v>247</v>
      </c>
    </row>
    <row r="21" spans="1:16" x14ac:dyDescent="0.35">
      <c r="A21" s="11">
        <v>7510</v>
      </c>
      <c r="B21" s="12" t="s">
        <v>156</v>
      </c>
      <c r="C21" s="10" t="s">
        <v>10</v>
      </c>
      <c r="D21" s="3">
        <f>40500+6000</f>
        <v>46500</v>
      </c>
      <c r="E21" s="3">
        <v>0</v>
      </c>
      <c r="F21" s="3"/>
      <c r="G21" s="3">
        <f>40500+6000</f>
        <v>46500</v>
      </c>
      <c r="H21" s="42"/>
    </row>
    <row r="22" spans="1:16" x14ac:dyDescent="0.35">
      <c r="A22" s="11">
        <v>7510</v>
      </c>
      <c r="B22" s="12" t="s">
        <v>157</v>
      </c>
      <c r="C22" s="10" t="s">
        <v>10</v>
      </c>
      <c r="D22" s="3">
        <v>1000</v>
      </c>
      <c r="E22" s="3">
        <v>0</v>
      </c>
      <c r="F22" s="3"/>
      <c r="G22" s="3">
        <v>1000</v>
      </c>
      <c r="H22" s="42"/>
    </row>
    <row r="23" spans="1:16" x14ac:dyDescent="0.35">
      <c r="A23" s="11">
        <v>7510</v>
      </c>
      <c r="B23" s="12" t="s">
        <v>179</v>
      </c>
      <c r="C23" s="10" t="s">
        <v>10</v>
      </c>
      <c r="D23" s="3">
        <v>960</v>
      </c>
      <c r="E23" s="3">
        <v>960</v>
      </c>
      <c r="F23" s="3"/>
      <c r="G23" s="3">
        <v>960</v>
      </c>
      <c r="H23" s="42"/>
    </row>
    <row r="24" spans="1:16" ht="43.5" x14ac:dyDescent="0.35">
      <c r="A24" s="8">
        <v>7510</v>
      </c>
      <c r="B24" s="52" t="s">
        <v>205</v>
      </c>
      <c r="C24" s="19" t="s">
        <v>195</v>
      </c>
      <c r="D24" s="17">
        <v>3000</v>
      </c>
      <c r="E24" s="17">
        <v>0</v>
      </c>
      <c r="F24" s="17"/>
      <c r="G24" s="17">
        <v>3000</v>
      </c>
      <c r="H24" s="43"/>
    </row>
    <row r="25" spans="1:16" x14ac:dyDescent="0.35">
      <c r="A25" s="11">
        <v>7510</v>
      </c>
      <c r="B25" s="15" t="s">
        <v>251</v>
      </c>
      <c r="C25" s="10" t="s">
        <v>10</v>
      </c>
      <c r="D25" s="17">
        <v>0</v>
      </c>
      <c r="E25" s="17">
        <v>0</v>
      </c>
      <c r="F25" s="17">
        <v>2400</v>
      </c>
      <c r="G25" s="17">
        <v>2400</v>
      </c>
      <c r="H25" s="43" t="s">
        <v>245</v>
      </c>
    </row>
    <row r="26" spans="1:16" x14ac:dyDescent="0.35">
      <c r="A26" s="68">
        <v>7510</v>
      </c>
      <c r="B26" s="68" t="s">
        <v>175</v>
      </c>
      <c r="C26" s="10" t="s">
        <v>10</v>
      </c>
      <c r="D26" s="3">
        <v>2000</v>
      </c>
      <c r="E26" s="3">
        <v>0</v>
      </c>
      <c r="F26" s="3">
        <v>-2000</v>
      </c>
      <c r="G26" s="53">
        <f>2000-2000</f>
        <v>0</v>
      </c>
      <c r="H26" s="70" t="s">
        <v>252</v>
      </c>
    </row>
    <row r="27" spans="1:16" x14ac:dyDescent="0.35">
      <c r="A27" s="69"/>
      <c r="B27" s="69"/>
      <c r="C27" s="10" t="s">
        <v>174</v>
      </c>
      <c r="D27" s="6">
        <v>0</v>
      </c>
      <c r="E27" s="6">
        <v>3000</v>
      </c>
      <c r="F27" s="6">
        <v>3000</v>
      </c>
      <c r="G27" s="6">
        <v>3000</v>
      </c>
      <c r="H27" s="70"/>
    </row>
    <row r="28" spans="1:16" x14ac:dyDescent="0.35">
      <c r="A28" s="28">
        <v>754</v>
      </c>
      <c r="B28" s="30" t="s">
        <v>158</v>
      </c>
      <c r="C28" s="30"/>
      <c r="D28" s="31">
        <f>SUM(D29:D30)</f>
        <v>200</v>
      </c>
      <c r="E28" s="31">
        <f>SUM(E29:E30)</f>
        <v>3328.8199999999997</v>
      </c>
      <c r="F28" s="31">
        <f>SUM(F29:F30)</f>
        <v>3128.8199999999997</v>
      </c>
      <c r="G28" s="31">
        <f>SUM(G29:G30)</f>
        <v>3328.8199999999997</v>
      </c>
      <c r="H28" s="46"/>
    </row>
    <row r="29" spans="1:16" ht="29" x14ac:dyDescent="0.35">
      <c r="A29" s="8">
        <v>7540</v>
      </c>
      <c r="B29" s="9" t="s">
        <v>235</v>
      </c>
      <c r="C29" s="18" t="s">
        <v>236</v>
      </c>
      <c r="D29" s="17">
        <v>0</v>
      </c>
      <c r="E29" s="17">
        <f>108.82+1220</f>
        <v>1328.82</v>
      </c>
      <c r="F29" s="17">
        <f>108.82+1220</f>
        <v>1328.82</v>
      </c>
      <c r="G29" s="17">
        <f>108.82+1220</f>
        <v>1328.82</v>
      </c>
      <c r="H29" s="43" t="s">
        <v>250</v>
      </c>
    </row>
    <row r="30" spans="1:16" x14ac:dyDescent="0.35">
      <c r="A30" s="11">
        <v>7540</v>
      </c>
      <c r="B30" s="10" t="s">
        <v>159</v>
      </c>
      <c r="C30" s="10" t="s">
        <v>10</v>
      </c>
      <c r="D30" s="3">
        <v>200</v>
      </c>
      <c r="E30" s="3">
        <v>2000</v>
      </c>
      <c r="F30" s="3">
        <v>1800</v>
      </c>
      <c r="G30" s="3">
        <v>2000</v>
      </c>
      <c r="H30" s="42" t="s">
        <v>254</v>
      </c>
    </row>
    <row r="31" spans="1:16" x14ac:dyDescent="0.35">
      <c r="A31" s="4" t="s">
        <v>160</v>
      </c>
      <c r="B31" s="4" t="s">
        <v>161</v>
      </c>
      <c r="C31" s="4"/>
      <c r="D31" s="27">
        <f>SUM(D32:D45)</f>
        <v>247693.75</v>
      </c>
      <c r="E31" s="27">
        <f>SUM(E32:E45)</f>
        <v>113381.55</v>
      </c>
      <c r="F31" s="27">
        <f>SUM(F32:F45)</f>
        <v>12862.48</v>
      </c>
      <c r="G31" s="27">
        <f>SUM(G32:G45)</f>
        <v>260556.22999999998</v>
      </c>
      <c r="H31" s="45"/>
    </row>
    <row r="32" spans="1:16" x14ac:dyDescent="0.35">
      <c r="A32" s="11">
        <v>7820</v>
      </c>
      <c r="B32" s="10" t="s">
        <v>162</v>
      </c>
      <c r="C32" s="10" t="s">
        <v>10</v>
      </c>
      <c r="D32" s="3">
        <v>5000</v>
      </c>
      <c r="E32" s="3">
        <v>17787.21</v>
      </c>
      <c r="F32" s="3">
        <v>12787.21</v>
      </c>
      <c r="G32" s="3">
        <f>5000+12787.21</f>
        <v>17787.21</v>
      </c>
      <c r="H32" s="42" t="s">
        <v>257</v>
      </c>
    </row>
    <row r="33" spans="1:8" x14ac:dyDescent="0.35">
      <c r="A33" s="11">
        <v>7826</v>
      </c>
      <c r="B33" s="10" t="s">
        <v>163</v>
      </c>
      <c r="C33" s="10" t="s">
        <v>10</v>
      </c>
      <c r="D33" s="3">
        <v>5000</v>
      </c>
      <c r="E33" s="3">
        <v>0</v>
      </c>
      <c r="F33" s="3"/>
      <c r="G33" s="3">
        <v>5000</v>
      </c>
      <c r="H33" s="42"/>
    </row>
    <row r="34" spans="1:8" x14ac:dyDescent="0.35">
      <c r="A34" s="11">
        <v>7860</v>
      </c>
      <c r="B34" s="10" t="s">
        <v>164</v>
      </c>
      <c r="C34" s="10" t="s">
        <v>38</v>
      </c>
      <c r="D34" s="3">
        <v>2000</v>
      </c>
      <c r="E34" s="3">
        <v>1040.94</v>
      </c>
      <c r="F34" s="3"/>
      <c r="G34" s="3">
        <v>2000</v>
      </c>
      <c r="H34" s="42"/>
    </row>
    <row r="35" spans="1:8" x14ac:dyDescent="0.35">
      <c r="A35" s="11">
        <v>7860</v>
      </c>
      <c r="B35" s="10" t="s">
        <v>165</v>
      </c>
      <c r="C35" s="10" t="s">
        <v>38</v>
      </c>
      <c r="D35" s="3">
        <v>11000</v>
      </c>
      <c r="E35" s="3">
        <v>0</v>
      </c>
      <c r="F35" s="3">
        <v>29100</v>
      </c>
      <c r="G35" s="3">
        <f>11000+29100</f>
        <v>40100</v>
      </c>
      <c r="H35" s="42" t="s">
        <v>258</v>
      </c>
    </row>
    <row r="36" spans="1:8" x14ac:dyDescent="0.35">
      <c r="A36" s="11">
        <v>7860</v>
      </c>
      <c r="B36" s="10" t="s">
        <v>180</v>
      </c>
      <c r="C36" s="10" t="s">
        <v>10</v>
      </c>
      <c r="D36" s="3">
        <v>700</v>
      </c>
      <c r="E36" s="3">
        <v>0</v>
      </c>
      <c r="F36" s="3"/>
      <c r="G36" s="3">
        <v>700</v>
      </c>
      <c r="H36" s="42"/>
    </row>
    <row r="37" spans="1:8" ht="29" x14ac:dyDescent="0.35">
      <c r="A37" s="8">
        <v>7860</v>
      </c>
      <c r="B37" s="9" t="s">
        <v>166</v>
      </c>
      <c r="C37" s="54" t="s">
        <v>81</v>
      </c>
      <c r="D37" s="17">
        <v>900</v>
      </c>
      <c r="E37" s="17">
        <v>793.82</v>
      </c>
      <c r="F37" s="17">
        <v>300</v>
      </c>
      <c r="G37" s="17">
        <f>900+300</f>
        <v>1200</v>
      </c>
      <c r="H37" s="43" t="s">
        <v>266</v>
      </c>
    </row>
    <row r="38" spans="1:8" x14ac:dyDescent="0.35">
      <c r="A38" s="8">
        <v>7860</v>
      </c>
      <c r="B38" s="9" t="s">
        <v>167</v>
      </c>
      <c r="C38" s="10" t="s">
        <v>88</v>
      </c>
      <c r="D38" s="17">
        <v>19000</v>
      </c>
      <c r="E38" s="17">
        <v>3665.56</v>
      </c>
      <c r="F38" s="17">
        <v>-9500</v>
      </c>
      <c r="G38" s="17">
        <f>19000-9500</f>
        <v>9500</v>
      </c>
      <c r="H38" s="43" t="s">
        <v>267</v>
      </c>
    </row>
    <row r="39" spans="1:8" x14ac:dyDescent="0.35">
      <c r="A39" s="8">
        <v>7860</v>
      </c>
      <c r="B39" s="9" t="s">
        <v>186</v>
      </c>
      <c r="C39" s="55" t="s">
        <v>183</v>
      </c>
      <c r="D39" s="17">
        <v>9720</v>
      </c>
      <c r="E39" s="17">
        <v>5220</v>
      </c>
      <c r="F39" s="17"/>
      <c r="G39" s="17">
        <v>9720</v>
      </c>
      <c r="H39" s="43"/>
    </row>
    <row r="40" spans="1:8" x14ac:dyDescent="0.35">
      <c r="A40" s="68">
        <v>7860</v>
      </c>
      <c r="B40" s="73" t="s">
        <v>253</v>
      </c>
      <c r="C40" s="10" t="s">
        <v>174</v>
      </c>
      <c r="D40" s="17">
        <f>36030+35000-5000</f>
        <v>66030</v>
      </c>
      <c r="E40" s="17">
        <f>28316+5662-3000</f>
        <v>30978</v>
      </c>
      <c r="F40" s="17">
        <v>-35052</v>
      </c>
      <c r="G40" s="17">
        <f>36030+35000-5000-32052-3000</f>
        <v>30978</v>
      </c>
      <c r="H40" s="76" t="s">
        <v>268</v>
      </c>
    </row>
    <row r="41" spans="1:8" ht="29" x14ac:dyDescent="0.35">
      <c r="A41" s="69"/>
      <c r="B41" s="74"/>
      <c r="C41" s="19" t="s">
        <v>236</v>
      </c>
      <c r="D41" s="17">
        <v>0</v>
      </c>
      <c r="E41" s="17">
        <v>1638.88</v>
      </c>
      <c r="F41" s="17">
        <v>1638.88</v>
      </c>
      <c r="G41" s="17">
        <v>1638.88</v>
      </c>
      <c r="H41" s="77"/>
    </row>
    <row r="42" spans="1:8" x14ac:dyDescent="0.35">
      <c r="A42" s="13">
        <v>7860</v>
      </c>
      <c r="B42" s="56" t="s">
        <v>255</v>
      </c>
      <c r="C42" s="19" t="s">
        <v>256</v>
      </c>
      <c r="D42" s="17">
        <v>0</v>
      </c>
      <c r="E42" s="17">
        <v>0</v>
      </c>
      <c r="F42" s="17">
        <v>2800</v>
      </c>
      <c r="G42" s="17">
        <v>2800</v>
      </c>
      <c r="H42" s="43" t="s">
        <v>270</v>
      </c>
    </row>
    <row r="43" spans="1:8" ht="29" x14ac:dyDescent="0.35">
      <c r="A43" s="8">
        <v>7860</v>
      </c>
      <c r="B43" s="9" t="s">
        <v>200</v>
      </c>
      <c r="C43" s="18" t="s">
        <v>196</v>
      </c>
      <c r="D43" s="17">
        <v>77343.75</v>
      </c>
      <c r="E43" s="17">
        <v>15468.75</v>
      </c>
      <c r="F43" s="17"/>
      <c r="G43" s="17">
        <v>77343.75</v>
      </c>
      <c r="H43" s="43"/>
    </row>
    <row r="44" spans="1:8" x14ac:dyDescent="0.35">
      <c r="A44" s="11">
        <v>7860</v>
      </c>
      <c r="B44" s="10" t="s">
        <v>187</v>
      </c>
      <c r="C44" s="10" t="s">
        <v>33</v>
      </c>
      <c r="D44" s="3">
        <v>25000</v>
      </c>
      <c r="E44" s="3">
        <v>0</v>
      </c>
      <c r="F44" s="3"/>
      <c r="G44" s="3">
        <v>25000</v>
      </c>
      <c r="H44" s="42"/>
    </row>
    <row r="45" spans="1:8" x14ac:dyDescent="0.35">
      <c r="A45" s="11">
        <v>7860</v>
      </c>
      <c r="B45" s="10" t="s">
        <v>201</v>
      </c>
      <c r="C45" s="10" t="s">
        <v>33</v>
      </c>
      <c r="D45" s="3">
        <v>26000</v>
      </c>
      <c r="E45" s="3">
        <v>36788.39</v>
      </c>
      <c r="F45" s="3">
        <v>10788.39</v>
      </c>
      <c r="G45" s="3">
        <f>26000+10788.39</f>
        <v>36788.39</v>
      </c>
      <c r="H45" s="42" t="s">
        <v>271</v>
      </c>
    </row>
    <row r="46" spans="1:8" x14ac:dyDescent="0.35">
      <c r="A46" s="4" t="s">
        <v>168</v>
      </c>
      <c r="B46" s="4" t="s">
        <v>169</v>
      </c>
      <c r="C46" s="4"/>
      <c r="D46" s="27">
        <f>SUM(D47:D48)</f>
        <v>150</v>
      </c>
      <c r="E46" s="27">
        <f>SUM(E47:E48)</f>
        <v>34.840000000000003</v>
      </c>
      <c r="F46" s="27">
        <f>SUM(F47:F48)</f>
        <v>0</v>
      </c>
      <c r="G46" s="27">
        <f>SUM(G47:G48)</f>
        <v>150</v>
      </c>
      <c r="H46" s="45"/>
    </row>
    <row r="47" spans="1:8" x14ac:dyDescent="0.35">
      <c r="A47" s="12" t="s">
        <v>170</v>
      </c>
      <c r="B47" s="12" t="s">
        <v>188</v>
      </c>
      <c r="C47" s="10" t="s">
        <v>10</v>
      </c>
      <c r="D47" s="3">
        <v>100</v>
      </c>
      <c r="E47" s="3">
        <v>34.840000000000003</v>
      </c>
      <c r="F47" s="3"/>
      <c r="G47" s="3">
        <v>100</v>
      </c>
      <c r="H47" s="42"/>
    </row>
    <row r="48" spans="1:8" x14ac:dyDescent="0.35">
      <c r="A48" s="11">
        <v>7720</v>
      </c>
      <c r="B48" s="10" t="s">
        <v>171</v>
      </c>
      <c r="C48" s="10" t="s">
        <v>10</v>
      </c>
      <c r="D48" s="3">
        <v>50</v>
      </c>
      <c r="E48" s="3">
        <v>0</v>
      </c>
      <c r="F48" s="3"/>
      <c r="G48" s="3">
        <v>50</v>
      </c>
      <c r="H48" s="42"/>
    </row>
    <row r="54" spans="1:17" ht="29" x14ac:dyDescent="0.35">
      <c r="A54" s="34" t="s">
        <v>0</v>
      </c>
      <c r="B54" s="34" t="s">
        <v>1</v>
      </c>
      <c r="C54" s="34" t="s">
        <v>2</v>
      </c>
      <c r="D54" s="35" t="s">
        <v>182</v>
      </c>
      <c r="E54" s="35" t="s">
        <v>230</v>
      </c>
      <c r="F54" s="41" t="s">
        <v>240</v>
      </c>
      <c r="G54" s="37" t="s">
        <v>241</v>
      </c>
      <c r="H54" s="41" t="s">
        <v>242</v>
      </c>
    </row>
    <row r="55" spans="1:17" x14ac:dyDescent="0.35">
      <c r="A55" s="2">
        <v>4</v>
      </c>
      <c r="B55" s="1" t="s">
        <v>3</v>
      </c>
      <c r="C55" s="1"/>
      <c r="D55" s="3">
        <f>D56+D69+D154+D167+D170+D174+D210+D214+D172</f>
        <v>1016004.4500000001</v>
      </c>
      <c r="E55" s="3">
        <f>E56+E69+E154+E167+E170+E174+E210+E214+E172</f>
        <v>546747.25000000012</v>
      </c>
      <c r="F55" s="3">
        <f>F56+F69+F154+F167+F170+F174+F210+F214+F172</f>
        <v>67922.979999999981</v>
      </c>
      <c r="G55" s="3">
        <f>G56+G69+G154+G167+G170+G174+G210+G214+G172</f>
        <v>1083927.43</v>
      </c>
      <c r="H55" s="42"/>
      <c r="I55" s="6"/>
    </row>
    <row r="56" spans="1:17" x14ac:dyDescent="0.35">
      <c r="A56" s="4" t="s">
        <v>4</v>
      </c>
      <c r="B56" s="4" t="s">
        <v>5</v>
      </c>
      <c r="C56" s="4"/>
      <c r="D56" s="5">
        <f>SUM(D57:D68)</f>
        <v>41800</v>
      </c>
      <c r="E56" s="5">
        <f>SUM(E57:E68)</f>
        <v>18627.55</v>
      </c>
      <c r="F56" s="5">
        <f>SUM(F57:F68)</f>
        <v>0</v>
      </c>
      <c r="G56" s="5">
        <f>SUM(G57:G68)</f>
        <v>41800</v>
      </c>
      <c r="H56" s="47"/>
      <c r="I56" s="6"/>
      <c r="J56" t="s">
        <v>5</v>
      </c>
      <c r="K56" s="6">
        <f>D56</f>
        <v>41800</v>
      </c>
      <c r="L56" s="7">
        <f>K56/$K$62</f>
        <v>4.1141552086705918E-2</v>
      </c>
      <c r="M56" s="7"/>
      <c r="O56" t="s">
        <v>5</v>
      </c>
      <c r="P56" s="6">
        <f>E56</f>
        <v>18627.55</v>
      </c>
      <c r="Q56" s="7">
        <f t="shared" ref="Q56:Q61" si="2">P56/$P$62</f>
        <v>3.4069764411252174E-2</v>
      </c>
    </row>
    <row r="57" spans="1:17" x14ac:dyDescent="0.35">
      <c r="A57" s="8">
        <v>4004</v>
      </c>
      <c r="B57" s="8" t="s">
        <v>6</v>
      </c>
      <c r="C57" s="9" t="s">
        <v>7</v>
      </c>
      <c r="D57" s="3">
        <v>2500</v>
      </c>
      <c r="E57" s="3">
        <f>624.04+88.76</f>
        <v>712.8</v>
      </c>
      <c r="F57" s="3"/>
      <c r="G57" s="3">
        <v>2500</v>
      </c>
      <c r="H57" s="42"/>
      <c r="I57" s="6"/>
      <c r="J57" t="s">
        <v>8</v>
      </c>
      <c r="K57" s="6">
        <f>D69</f>
        <v>489084.72</v>
      </c>
      <c r="L57" s="7">
        <f t="shared" ref="L57:L61" si="3">K57/$K$62</f>
        <v>0.48138049001655447</v>
      </c>
      <c r="M57" s="7"/>
      <c r="O57" t="s">
        <v>8</v>
      </c>
      <c r="P57" s="6">
        <f>E69</f>
        <v>288384.33000000007</v>
      </c>
      <c r="Q57" s="7">
        <f t="shared" si="2"/>
        <v>0.52745455967085342</v>
      </c>
    </row>
    <row r="58" spans="1:17" x14ac:dyDescent="0.35">
      <c r="A58" s="68">
        <v>4010</v>
      </c>
      <c r="B58" s="68" t="s">
        <v>9</v>
      </c>
      <c r="C58" s="10" t="s">
        <v>10</v>
      </c>
      <c r="D58" s="3">
        <f>2500-1000</f>
        <v>1500</v>
      </c>
      <c r="E58" s="17">
        <v>376.34</v>
      </c>
      <c r="F58" s="3"/>
      <c r="G58" s="3">
        <f>2500-1000</f>
        <v>1500</v>
      </c>
      <c r="H58" s="42"/>
      <c r="I58" s="6"/>
      <c r="J58" t="s">
        <v>11</v>
      </c>
      <c r="K58" s="6">
        <f>D154</f>
        <v>347874.31</v>
      </c>
      <c r="L58" s="7">
        <f t="shared" si="3"/>
        <v>0.34239447474860957</v>
      </c>
      <c r="M58" s="7"/>
      <c r="O58" t="s">
        <v>11</v>
      </c>
      <c r="P58" s="6">
        <f>E154</f>
        <v>163697.86000000002</v>
      </c>
      <c r="Q58" s="7">
        <f t="shared" si="2"/>
        <v>0.29940317029486657</v>
      </c>
    </row>
    <row r="59" spans="1:17" ht="29" x14ac:dyDescent="0.35">
      <c r="A59" s="69"/>
      <c r="B59" s="69"/>
      <c r="C59" s="19" t="s">
        <v>196</v>
      </c>
      <c r="D59" s="17">
        <v>1000</v>
      </c>
      <c r="E59" s="17">
        <v>211</v>
      </c>
      <c r="F59" s="17"/>
      <c r="G59" s="17">
        <v>1000</v>
      </c>
      <c r="H59" s="43"/>
      <c r="I59" s="6"/>
      <c r="J59" t="s">
        <v>13</v>
      </c>
      <c r="K59" s="6">
        <f>D167</f>
        <v>17000</v>
      </c>
      <c r="L59" s="7">
        <f t="shared" si="3"/>
        <v>1.6732210178803841E-2</v>
      </c>
      <c r="M59" s="7"/>
      <c r="O59" t="s">
        <v>13</v>
      </c>
      <c r="P59" s="6">
        <f>E167</f>
        <v>10216.65</v>
      </c>
      <c r="Q59" s="7">
        <f t="shared" si="2"/>
        <v>1.8686239391236075E-2</v>
      </c>
    </row>
    <row r="60" spans="1:17" ht="29" x14ac:dyDescent="0.35">
      <c r="A60" s="8">
        <v>4014</v>
      </c>
      <c r="B60" s="8" t="s">
        <v>12</v>
      </c>
      <c r="C60" s="9" t="s">
        <v>10</v>
      </c>
      <c r="D60" s="17">
        <v>500</v>
      </c>
      <c r="E60" s="17">
        <v>172.6</v>
      </c>
      <c r="F60" s="17"/>
      <c r="G60" s="17">
        <v>500</v>
      </c>
      <c r="H60" s="43"/>
      <c r="I60" s="6"/>
      <c r="J60" s="39" t="s">
        <v>224</v>
      </c>
      <c r="K60" s="6">
        <f>D170+D172</f>
        <v>7500</v>
      </c>
      <c r="L60" s="7">
        <f t="shared" si="3"/>
        <v>7.3818574318252244E-3</v>
      </c>
      <c r="M60" s="7"/>
      <c r="O60" s="39" t="s">
        <v>224</v>
      </c>
      <c r="P60" s="6">
        <f>E170+E172</f>
        <v>0</v>
      </c>
      <c r="Q60" s="7">
        <f t="shared" si="2"/>
        <v>0</v>
      </c>
    </row>
    <row r="61" spans="1:17" x14ac:dyDescent="0.35">
      <c r="A61" s="11">
        <v>4017</v>
      </c>
      <c r="B61" s="12" t="s">
        <v>14</v>
      </c>
      <c r="C61" s="10" t="s">
        <v>10</v>
      </c>
      <c r="D61" s="3">
        <v>400</v>
      </c>
      <c r="E61" s="3">
        <v>181.2</v>
      </c>
      <c r="F61" s="3"/>
      <c r="G61" s="3">
        <v>400</v>
      </c>
      <c r="H61" s="42"/>
      <c r="I61" s="6"/>
      <c r="J61" t="s">
        <v>15</v>
      </c>
      <c r="K61" s="6">
        <f>D174+D210+D214</f>
        <v>112745.42</v>
      </c>
      <c r="L61" s="7">
        <f t="shared" si="3"/>
        <v>0.11096941553750084</v>
      </c>
      <c r="M61" s="7"/>
      <c r="O61" t="s">
        <v>15</v>
      </c>
      <c r="P61" s="6">
        <f>E174+E210+E214</f>
        <v>65820.86</v>
      </c>
      <c r="Q61" s="7">
        <f t="shared" si="2"/>
        <v>0.12038626623179172</v>
      </c>
    </row>
    <row r="62" spans="1:17" x14ac:dyDescent="0.35">
      <c r="A62" s="13">
        <v>4019</v>
      </c>
      <c r="B62" s="32" t="s">
        <v>16</v>
      </c>
      <c r="C62" s="10" t="s">
        <v>7</v>
      </c>
      <c r="D62" s="3">
        <v>400</v>
      </c>
      <c r="E62" s="3">
        <v>299</v>
      </c>
      <c r="F62" s="3"/>
      <c r="G62" s="3">
        <v>400</v>
      </c>
      <c r="H62" s="42"/>
      <c r="I62" s="6"/>
      <c r="J62" s="6"/>
      <c r="K62" s="6">
        <f>SUM(K56:K61)</f>
        <v>1016004.4500000001</v>
      </c>
      <c r="M62" s="14"/>
      <c r="O62" s="6"/>
      <c r="P62" s="6">
        <f>SUM(P56:P61)</f>
        <v>546747.25000000012</v>
      </c>
    </row>
    <row r="63" spans="1:17" x14ac:dyDescent="0.35">
      <c r="A63" s="12" t="s">
        <v>18</v>
      </c>
      <c r="B63" s="10" t="s">
        <v>19</v>
      </c>
      <c r="C63" s="10" t="s">
        <v>10</v>
      </c>
      <c r="D63" s="3">
        <v>500</v>
      </c>
      <c r="E63" s="3">
        <v>0</v>
      </c>
      <c r="F63" s="3"/>
      <c r="G63" s="3">
        <v>500</v>
      </c>
      <c r="H63" s="42"/>
      <c r="I63" s="6"/>
      <c r="J63" s="6"/>
      <c r="K63" s="6"/>
    </row>
    <row r="64" spans="1:17" x14ac:dyDescent="0.35">
      <c r="A64" s="82" t="s">
        <v>20</v>
      </c>
      <c r="B64" s="82" t="s">
        <v>21</v>
      </c>
      <c r="C64" s="10" t="s">
        <v>7</v>
      </c>
      <c r="D64" s="3">
        <v>21000</v>
      </c>
      <c r="E64" s="3">
        <v>13120.73</v>
      </c>
      <c r="F64" s="3"/>
      <c r="G64" s="3">
        <v>21000</v>
      </c>
      <c r="H64" s="42"/>
      <c r="K64" s="6"/>
    </row>
    <row r="65" spans="1:9" ht="29" x14ac:dyDescent="0.35">
      <c r="A65" s="82"/>
      <c r="B65" s="82"/>
      <c r="C65" s="19" t="s">
        <v>196</v>
      </c>
      <c r="D65" s="17">
        <v>4000</v>
      </c>
      <c r="E65" s="17">
        <v>0</v>
      </c>
      <c r="F65" s="17"/>
      <c r="G65" s="17">
        <v>4000</v>
      </c>
      <c r="H65" s="43"/>
    </row>
    <row r="66" spans="1:9" x14ac:dyDescent="0.35">
      <c r="A66" s="68" t="s">
        <v>22</v>
      </c>
      <c r="B66" s="68" t="s">
        <v>23</v>
      </c>
      <c r="C66" s="10" t="s">
        <v>7</v>
      </c>
      <c r="D66" s="3">
        <v>7000</v>
      </c>
      <c r="E66" s="3">
        <v>2492.58</v>
      </c>
      <c r="F66" s="3"/>
      <c r="G66" s="3">
        <v>7000</v>
      </c>
      <c r="H66" s="42"/>
    </row>
    <row r="67" spans="1:9" x14ac:dyDescent="0.35">
      <c r="A67" s="69"/>
      <c r="B67" s="69"/>
      <c r="C67" s="10" t="s">
        <v>10</v>
      </c>
      <c r="D67" s="3">
        <v>1000</v>
      </c>
      <c r="E67" s="3">
        <v>0</v>
      </c>
      <c r="F67" s="3"/>
      <c r="G67" s="3">
        <v>1000</v>
      </c>
      <c r="H67" s="42"/>
    </row>
    <row r="68" spans="1:9" x14ac:dyDescent="0.35">
      <c r="A68" s="16" t="s">
        <v>24</v>
      </c>
      <c r="B68" s="10" t="s">
        <v>25</v>
      </c>
      <c r="C68" s="10" t="s">
        <v>10</v>
      </c>
      <c r="D68" s="3">
        <v>2000</v>
      </c>
      <c r="E68" s="3">
        <v>1061.3</v>
      </c>
      <c r="F68" s="3"/>
      <c r="G68" s="3">
        <v>2000</v>
      </c>
      <c r="H68" s="42"/>
    </row>
    <row r="69" spans="1:9" x14ac:dyDescent="0.35">
      <c r="A69" s="4" t="s">
        <v>26</v>
      </c>
      <c r="B69" s="4" t="s">
        <v>8</v>
      </c>
      <c r="C69" s="4"/>
      <c r="D69" s="5">
        <f>SUM(D70:D153)</f>
        <v>489084.72</v>
      </c>
      <c r="E69" s="5">
        <f>SUM(E70:E153)</f>
        <v>288384.33000000007</v>
      </c>
      <c r="F69" s="5">
        <f>SUM(F70:F153)</f>
        <v>51901.979999999989</v>
      </c>
      <c r="G69" s="5">
        <f>SUM(G70:G153)</f>
        <v>540986.70000000007</v>
      </c>
      <c r="H69" s="47"/>
      <c r="I69" s="6"/>
    </row>
    <row r="70" spans="1:9" ht="29" x14ac:dyDescent="0.35">
      <c r="A70" s="68" t="s">
        <v>27</v>
      </c>
      <c r="B70" s="73" t="s">
        <v>28</v>
      </c>
      <c r="C70" s="19" t="s">
        <v>196</v>
      </c>
      <c r="D70" s="17">
        <v>9000</v>
      </c>
      <c r="E70" s="17">
        <v>4504.55</v>
      </c>
      <c r="F70" s="17"/>
      <c r="G70" s="17">
        <v>9000</v>
      </c>
      <c r="H70" s="43"/>
      <c r="I70" s="6"/>
    </row>
    <row r="71" spans="1:9" x14ac:dyDescent="0.35">
      <c r="A71" s="81"/>
      <c r="B71" s="86"/>
      <c r="C71" s="10" t="s">
        <v>10</v>
      </c>
      <c r="D71" s="3">
        <f>10210-9000</f>
        <v>1210</v>
      </c>
      <c r="E71" s="17">
        <v>0</v>
      </c>
      <c r="F71" s="3"/>
      <c r="G71" s="17">
        <f>10210-9000</f>
        <v>1210</v>
      </c>
      <c r="H71" s="43"/>
      <c r="I71" s="6"/>
    </row>
    <row r="72" spans="1:9" x14ac:dyDescent="0.35">
      <c r="A72" s="12" t="s">
        <v>29</v>
      </c>
      <c r="B72" s="12" t="s">
        <v>30</v>
      </c>
      <c r="C72" s="10" t="s">
        <v>10</v>
      </c>
      <c r="D72" s="3">
        <v>250</v>
      </c>
      <c r="E72" s="3">
        <v>128.18</v>
      </c>
      <c r="F72" s="3"/>
      <c r="G72" s="3">
        <v>250</v>
      </c>
      <c r="H72" s="42"/>
      <c r="I72" s="6"/>
    </row>
    <row r="73" spans="1:9" x14ac:dyDescent="0.35">
      <c r="A73" s="12" t="s">
        <v>31</v>
      </c>
      <c r="B73" s="10" t="s">
        <v>32</v>
      </c>
      <c r="C73" s="10" t="s">
        <v>10</v>
      </c>
      <c r="D73" s="3">
        <v>4500</v>
      </c>
      <c r="E73" s="3">
        <v>10869.92</v>
      </c>
      <c r="F73" s="3">
        <v>6370</v>
      </c>
      <c r="G73" s="3">
        <f>4500+6370</f>
        <v>10870</v>
      </c>
      <c r="H73" s="42" t="s">
        <v>243</v>
      </c>
      <c r="I73" s="6"/>
    </row>
    <row r="74" spans="1:9" x14ac:dyDescent="0.35">
      <c r="A74" s="68">
        <v>4119</v>
      </c>
      <c r="B74" s="71" t="s">
        <v>34</v>
      </c>
      <c r="C74" s="73" t="s">
        <v>33</v>
      </c>
      <c r="D74" s="83">
        <v>26000</v>
      </c>
      <c r="E74" s="75">
        <v>26000</v>
      </c>
      <c r="F74" s="70"/>
      <c r="G74" s="75">
        <v>26000</v>
      </c>
      <c r="H74" s="70"/>
      <c r="I74" s="6"/>
    </row>
    <row r="75" spans="1:9" x14ac:dyDescent="0.35">
      <c r="A75" s="69"/>
      <c r="B75" s="72"/>
      <c r="C75" s="74"/>
      <c r="D75" s="84"/>
      <c r="E75" s="75"/>
      <c r="F75" s="70"/>
      <c r="G75" s="75"/>
      <c r="H75" s="70"/>
      <c r="I75" s="6"/>
    </row>
    <row r="76" spans="1:9" x14ac:dyDescent="0.35">
      <c r="A76" s="68">
        <v>4119</v>
      </c>
      <c r="B76" s="71" t="s">
        <v>202</v>
      </c>
      <c r="C76" s="73" t="s">
        <v>33</v>
      </c>
      <c r="D76" s="83">
        <v>13000</v>
      </c>
      <c r="E76" s="75">
        <v>0</v>
      </c>
      <c r="F76" s="70"/>
      <c r="G76" s="75">
        <v>13000</v>
      </c>
      <c r="H76" s="70"/>
      <c r="I76" s="6"/>
    </row>
    <row r="77" spans="1:9" x14ac:dyDescent="0.35">
      <c r="A77" s="69"/>
      <c r="B77" s="72"/>
      <c r="C77" s="74"/>
      <c r="D77" s="84"/>
      <c r="E77" s="75"/>
      <c r="F77" s="70"/>
      <c r="G77" s="75"/>
      <c r="H77" s="70"/>
      <c r="I77" s="6"/>
    </row>
    <row r="78" spans="1:9" x14ac:dyDescent="0.35">
      <c r="A78" s="8">
        <v>4119</v>
      </c>
      <c r="B78" s="59" t="s">
        <v>206</v>
      </c>
      <c r="C78" s="10" t="s">
        <v>183</v>
      </c>
      <c r="D78" s="3">
        <v>3000</v>
      </c>
      <c r="E78" s="3">
        <v>0</v>
      </c>
      <c r="F78" s="3"/>
      <c r="G78" s="3">
        <v>3000</v>
      </c>
      <c r="H78" s="42"/>
      <c r="I78" s="6"/>
    </row>
    <row r="79" spans="1:9" x14ac:dyDescent="0.35">
      <c r="A79" s="8">
        <v>4119</v>
      </c>
      <c r="B79" s="59" t="s">
        <v>208</v>
      </c>
      <c r="C79" s="10" t="s">
        <v>183</v>
      </c>
      <c r="D79" s="3">
        <v>4500</v>
      </c>
      <c r="E79" s="3">
        <v>4500</v>
      </c>
      <c r="F79" s="3"/>
      <c r="G79" s="3">
        <v>4500</v>
      </c>
      <c r="H79" s="42"/>
      <c r="I79" s="6"/>
    </row>
    <row r="80" spans="1:9" x14ac:dyDescent="0.35">
      <c r="A80" s="68">
        <v>4119</v>
      </c>
      <c r="B80" s="71" t="s">
        <v>207</v>
      </c>
      <c r="C80" s="10" t="s">
        <v>183</v>
      </c>
      <c r="D80" s="3">
        <v>1500</v>
      </c>
      <c r="E80" s="3">
        <v>0</v>
      </c>
      <c r="F80" s="3"/>
      <c r="G80" s="3">
        <v>1500</v>
      </c>
      <c r="H80" s="42"/>
      <c r="I80" s="6"/>
    </row>
    <row r="81" spans="1:11" ht="29" x14ac:dyDescent="0.35">
      <c r="A81" s="69"/>
      <c r="B81" s="85"/>
      <c r="C81" s="19" t="s">
        <v>194</v>
      </c>
      <c r="D81" s="17">
        <v>800</v>
      </c>
      <c r="E81" s="17">
        <v>0</v>
      </c>
      <c r="F81" s="17">
        <v>1200</v>
      </c>
      <c r="G81" s="17">
        <f>800+1200</f>
        <v>2000</v>
      </c>
      <c r="H81" s="43" t="s">
        <v>246</v>
      </c>
      <c r="I81" s="6"/>
    </row>
    <row r="82" spans="1:11" ht="29" x14ac:dyDescent="0.35">
      <c r="A82" s="68">
        <v>4119</v>
      </c>
      <c r="B82" s="71" t="s">
        <v>214</v>
      </c>
      <c r="C82" s="19" t="s">
        <v>196</v>
      </c>
      <c r="D82" s="17">
        <v>15000</v>
      </c>
      <c r="E82" s="17">
        <v>7500</v>
      </c>
      <c r="F82" s="17"/>
      <c r="G82" s="17">
        <v>15000</v>
      </c>
      <c r="H82" s="43"/>
      <c r="I82" s="6"/>
    </row>
    <row r="83" spans="1:11" x14ac:dyDescent="0.35">
      <c r="A83" s="69"/>
      <c r="B83" s="72"/>
      <c r="C83" s="10" t="s">
        <v>35</v>
      </c>
      <c r="D83" s="17">
        <v>0</v>
      </c>
      <c r="E83" s="17">
        <v>1200</v>
      </c>
      <c r="F83" s="17">
        <v>2400</v>
      </c>
      <c r="G83" s="17">
        <v>2400</v>
      </c>
      <c r="H83" s="43" t="s">
        <v>248</v>
      </c>
      <c r="I83" s="6"/>
    </row>
    <row r="84" spans="1:11" x14ac:dyDescent="0.35">
      <c r="A84" s="68">
        <v>4119</v>
      </c>
      <c r="B84" s="71" t="s">
        <v>192</v>
      </c>
      <c r="C84" s="10" t="s">
        <v>35</v>
      </c>
      <c r="D84" s="3">
        <f>2500+9000-3200</f>
        <v>8300</v>
      </c>
      <c r="E84" s="3">
        <v>5724</v>
      </c>
      <c r="F84" s="3">
        <v>-576</v>
      </c>
      <c r="G84" s="3">
        <f>2500+9000-3200-576</f>
        <v>7724</v>
      </c>
      <c r="H84" s="76" t="s">
        <v>244</v>
      </c>
      <c r="I84" s="6"/>
    </row>
    <row r="85" spans="1:11" x14ac:dyDescent="0.35">
      <c r="A85" s="69"/>
      <c r="B85" s="72"/>
      <c r="C85" s="10" t="s">
        <v>10</v>
      </c>
      <c r="D85" s="3">
        <v>3200</v>
      </c>
      <c r="E85" s="3">
        <v>500</v>
      </c>
      <c r="F85" s="3">
        <v>-2500</v>
      </c>
      <c r="G85" s="3">
        <f>3200-2500</f>
        <v>700</v>
      </c>
      <c r="H85" s="77"/>
      <c r="I85" s="6"/>
    </row>
    <row r="86" spans="1:11" x14ac:dyDescent="0.35">
      <c r="A86" s="60">
        <v>4119</v>
      </c>
      <c r="B86" s="58" t="s">
        <v>36</v>
      </c>
      <c r="C86" s="10" t="s">
        <v>35</v>
      </c>
      <c r="D86" s="3">
        <f>3000+2000</f>
        <v>5000</v>
      </c>
      <c r="E86" s="3">
        <v>2850</v>
      </c>
      <c r="F86" s="3"/>
      <c r="G86" s="3">
        <f>3000+2000</f>
        <v>5000</v>
      </c>
      <c r="H86" s="42"/>
      <c r="I86" s="6"/>
    </row>
    <row r="87" spans="1:11" x14ac:dyDescent="0.35">
      <c r="A87" s="60">
        <v>4119</v>
      </c>
      <c r="B87" s="58" t="s">
        <v>231</v>
      </c>
      <c r="C87" s="10" t="s">
        <v>35</v>
      </c>
      <c r="D87" s="3">
        <v>10000</v>
      </c>
      <c r="E87" s="3">
        <v>0</v>
      </c>
      <c r="F87" s="3"/>
      <c r="G87" s="3">
        <v>10000</v>
      </c>
      <c r="H87" s="42"/>
      <c r="I87" s="6"/>
      <c r="J87" t="s">
        <v>226</v>
      </c>
      <c r="K87" s="7">
        <f>(D158+D181+D188)/D6</f>
        <v>0.48041404505784452</v>
      </c>
    </row>
    <row r="88" spans="1:11" x14ac:dyDescent="0.35">
      <c r="A88" s="60">
        <v>4119</v>
      </c>
      <c r="B88" s="58" t="s">
        <v>184</v>
      </c>
      <c r="C88" s="10" t="s">
        <v>10</v>
      </c>
      <c r="D88" s="3">
        <v>12960</v>
      </c>
      <c r="E88" s="3">
        <v>9800</v>
      </c>
      <c r="F88" s="3"/>
      <c r="G88" s="3">
        <v>12960</v>
      </c>
      <c r="H88" s="42"/>
      <c r="I88" s="6"/>
      <c r="J88" t="s">
        <v>227</v>
      </c>
      <c r="K88" s="7">
        <f>(D155+D156+D187+D180)/D7</f>
        <v>0.54744744744744744</v>
      </c>
    </row>
    <row r="89" spans="1:11" x14ac:dyDescent="0.35">
      <c r="A89" s="68">
        <v>4119</v>
      </c>
      <c r="B89" s="58" t="s">
        <v>260</v>
      </c>
      <c r="C89" s="10" t="s">
        <v>174</v>
      </c>
      <c r="D89" s="3">
        <f>12500+7250</f>
        <v>19750</v>
      </c>
      <c r="E89" s="3">
        <v>11550</v>
      </c>
      <c r="F89" s="3">
        <v>-8200</v>
      </c>
      <c r="G89" s="3">
        <f>12500+7250+F89</f>
        <v>11550</v>
      </c>
      <c r="H89" s="76" t="s">
        <v>249</v>
      </c>
      <c r="I89" s="6"/>
    </row>
    <row r="90" spans="1:11" x14ac:dyDescent="0.35">
      <c r="A90" s="69"/>
      <c r="B90" s="58" t="s">
        <v>259</v>
      </c>
      <c r="C90" s="10" t="s">
        <v>239</v>
      </c>
      <c r="D90" s="3">
        <v>0</v>
      </c>
      <c r="E90" s="3">
        <v>0</v>
      </c>
      <c r="F90" s="3">
        <v>1500</v>
      </c>
      <c r="G90" s="3">
        <v>1500</v>
      </c>
      <c r="H90" s="77"/>
      <c r="I90" s="6"/>
    </row>
    <row r="91" spans="1:11" x14ac:dyDescent="0.35">
      <c r="A91" s="8">
        <v>4119</v>
      </c>
      <c r="B91" s="9" t="s">
        <v>37</v>
      </c>
      <c r="C91" s="10" t="s">
        <v>38</v>
      </c>
      <c r="D91" s="3">
        <v>9000</v>
      </c>
      <c r="E91" s="3">
        <v>0</v>
      </c>
      <c r="F91" s="3">
        <v>23000</v>
      </c>
      <c r="G91" s="3">
        <f>9000+23000</f>
        <v>32000</v>
      </c>
      <c r="H91" s="42" t="s">
        <v>247</v>
      </c>
      <c r="I91" s="6"/>
    </row>
    <row r="92" spans="1:11" x14ac:dyDescent="0.35">
      <c r="A92" s="8">
        <v>4119</v>
      </c>
      <c r="B92" s="9" t="s">
        <v>277</v>
      </c>
      <c r="C92" s="10" t="s">
        <v>35</v>
      </c>
      <c r="D92" s="3">
        <v>0</v>
      </c>
      <c r="E92" s="3">
        <v>0</v>
      </c>
      <c r="F92" s="3">
        <v>2500</v>
      </c>
      <c r="G92" s="3">
        <v>2500</v>
      </c>
      <c r="H92" s="42" t="s">
        <v>245</v>
      </c>
      <c r="I92" s="6"/>
    </row>
    <row r="93" spans="1:11" x14ac:dyDescent="0.35">
      <c r="A93" s="61">
        <v>41201</v>
      </c>
      <c r="B93" s="9" t="s">
        <v>39</v>
      </c>
      <c r="C93" s="10" t="s">
        <v>7</v>
      </c>
      <c r="D93" s="3">
        <v>4000</v>
      </c>
      <c r="E93" s="3">
        <v>1186.99</v>
      </c>
      <c r="F93" s="3"/>
      <c r="G93" s="3">
        <v>4000</v>
      </c>
      <c r="H93" s="42"/>
      <c r="I93" s="6"/>
    </row>
    <row r="94" spans="1:11" ht="28.5" customHeight="1" x14ac:dyDescent="0.35">
      <c r="A94" s="78" t="s">
        <v>181</v>
      </c>
      <c r="B94" s="71" t="s">
        <v>40</v>
      </c>
      <c r="C94" s="9" t="s">
        <v>7</v>
      </c>
      <c r="D94" s="17">
        <v>21530</v>
      </c>
      <c r="E94" s="17">
        <v>7507.23</v>
      </c>
      <c r="F94" s="17">
        <v>-8165</v>
      </c>
      <c r="G94" s="17">
        <f>21530-8165</f>
        <v>13365</v>
      </c>
      <c r="H94" s="76" t="s">
        <v>252</v>
      </c>
      <c r="I94" s="6"/>
    </row>
    <row r="95" spans="1:11" x14ac:dyDescent="0.35">
      <c r="A95" s="80"/>
      <c r="B95" s="72"/>
      <c r="C95" s="10" t="s">
        <v>10</v>
      </c>
      <c r="D95" s="17">
        <v>0</v>
      </c>
      <c r="E95" s="17">
        <v>0</v>
      </c>
      <c r="F95" s="17">
        <v>8165</v>
      </c>
      <c r="G95" s="17">
        <v>8165</v>
      </c>
      <c r="H95" s="77"/>
      <c r="I95" s="6"/>
    </row>
    <row r="96" spans="1:11" x14ac:dyDescent="0.35">
      <c r="A96" s="8">
        <v>4122</v>
      </c>
      <c r="B96" s="9" t="s">
        <v>41</v>
      </c>
      <c r="C96" s="9" t="s">
        <v>7</v>
      </c>
      <c r="D96" s="3">
        <v>19840</v>
      </c>
      <c r="E96" s="3">
        <v>8703.64</v>
      </c>
      <c r="F96" s="3"/>
      <c r="G96" s="3">
        <v>19840</v>
      </c>
      <c r="H96" s="42"/>
      <c r="I96" s="6"/>
    </row>
    <row r="97" spans="1:9" x14ac:dyDescent="0.35">
      <c r="A97" s="8">
        <v>4122</v>
      </c>
      <c r="B97" s="9" t="s">
        <v>42</v>
      </c>
      <c r="C97" s="9" t="s">
        <v>7</v>
      </c>
      <c r="D97" s="3">
        <v>2700</v>
      </c>
      <c r="E97" s="3">
        <v>0</v>
      </c>
      <c r="F97" s="3"/>
      <c r="G97" s="3">
        <v>2700</v>
      </c>
      <c r="H97" s="42"/>
      <c r="I97" s="6"/>
    </row>
    <row r="98" spans="1:9" ht="43.5" customHeight="1" x14ac:dyDescent="0.35">
      <c r="A98" s="13">
        <v>4123</v>
      </c>
      <c r="B98" s="18" t="s">
        <v>43</v>
      </c>
      <c r="C98" s="9" t="s">
        <v>10</v>
      </c>
      <c r="D98" s="17">
        <v>5340</v>
      </c>
      <c r="E98" s="17">
        <v>2244.7800000000002</v>
      </c>
      <c r="F98" s="17"/>
      <c r="G98" s="17">
        <v>5340</v>
      </c>
      <c r="H98" s="43"/>
      <c r="I98" s="6"/>
    </row>
    <row r="99" spans="1:9" x14ac:dyDescent="0.35">
      <c r="A99" s="8">
        <v>4123</v>
      </c>
      <c r="B99" s="18" t="s">
        <v>190</v>
      </c>
      <c r="C99" s="10" t="s">
        <v>35</v>
      </c>
      <c r="D99" s="17">
        <f>6280</f>
        <v>6280</v>
      </c>
      <c r="E99" s="17">
        <v>3137.28</v>
      </c>
      <c r="F99" s="17"/>
      <c r="G99" s="17">
        <f>6280</f>
        <v>6280</v>
      </c>
      <c r="H99" s="43"/>
      <c r="I99" s="6"/>
    </row>
    <row r="100" spans="1:9" x14ac:dyDescent="0.35">
      <c r="A100" s="8">
        <v>4123</v>
      </c>
      <c r="B100" s="18" t="s">
        <v>189</v>
      </c>
      <c r="C100" s="10" t="s">
        <v>35</v>
      </c>
      <c r="D100" s="17">
        <v>720</v>
      </c>
      <c r="E100" s="17">
        <v>360</v>
      </c>
      <c r="F100" s="17"/>
      <c r="G100" s="17">
        <v>720</v>
      </c>
      <c r="H100" s="43"/>
      <c r="I100" s="6"/>
    </row>
    <row r="101" spans="1:9" x14ac:dyDescent="0.35">
      <c r="A101" s="8">
        <v>4123</v>
      </c>
      <c r="B101" s="18" t="s">
        <v>213</v>
      </c>
      <c r="C101" s="10" t="s">
        <v>174</v>
      </c>
      <c r="D101" s="17">
        <v>200</v>
      </c>
      <c r="E101" s="17">
        <v>0</v>
      </c>
      <c r="F101" s="17">
        <v>-200</v>
      </c>
      <c r="G101" s="17">
        <f>200-200</f>
        <v>0</v>
      </c>
      <c r="H101" s="76" t="s">
        <v>250</v>
      </c>
      <c r="I101" s="6"/>
    </row>
    <row r="102" spans="1:9" x14ac:dyDescent="0.35">
      <c r="A102" s="8">
        <v>4123</v>
      </c>
      <c r="B102" s="18" t="s">
        <v>261</v>
      </c>
      <c r="C102" s="10" t="s">
        <v>256</v>
      </c>
      <c r="D102" s="17">
        <v>0</v>
      </c>
      <c r="E102" s="17">
        <v>0</v>
      </c>
      <c r="F102" s="17">
        <v>1000</v>
      </c>
      <c r="G102" s="17">
        <v>1000</v>
      </c>
      <c r="H102" s="77"/>
      <c r="I102" s="6"/>
    </row>
    <row r="103" spans="1:9" ht="29" x14ac:dyDescent="0.35">
      <c r="A103" s="15">
        <v>4123</v>
      </c>
      <c r="B103" s="18" t="s">
        <v>209</v>
      </c>
      <c r="C103" s="19" t="s">
        <v>196</v>
      </c>
      <c r="D103" s="17">
        <v>500</v>
      </c>
      <c r="E103" s="17">
        <v>0</v>
      </c>
      <c r="F103" s="17"/>
      <c r="G103" s="17">
        <v>500</v>
      </c>
      <c r="H103" s="43"/>
      <c r="I103" s="6"/>
    </row>
    <row r="104" spans="1:9" x14ac:dyDescent="0.35">
      <c r="A104" s="62" t="s">
        <v>44</v>
      </c>
      <c r="B104" s="54" t="s">
        <v>45</v>
      </c>
      <c r="C104" s="10" t="s">
        <v>10</v>
      </c>
      <c r="D104" s="3">
        <v>700</v>
      </c>
      <c r="E104" s="3">
        <v>452.8</v>
      </c>
      <c r="F104" s="3"/>
      <c r="G104" s="3">
        <v>700</v>
      </c>
      <c r="H104" s="42"/>
      <c r="I104" s="6"/>
    </row>
    <row r="105" spans="1:9" x14ac:dyDescent="0.35">
      <c r="A105" s="68" t="s">
        <v>46</v>
      </c>
      <c r="B105" s="10" t="s">
        <v>47</v>
      </c>
      <c r="C105" s="9" t="s">
        <v>7</v>
      </c>
      <c r="D105" s="3">
        <v>1680</v>
      </c>
      <c r="E105" s="3">
        <v>918</v>
      </c>
      <c r="F105" s="3"/>
      <c r="G105" s="3">
        <v>1680</v>
      </c>
      <c r="H105" s="42"/>
      <c r="I105" s="6"/>
    </row>
    <row r="106" spans="1:9" ht="15" customHeight="1" x14ac:dyDescent="0.35">
      <c r="A106" s="69"/>
      <c r="B106" s="10" t="s">
        <v>48</v>
      </c>
      <c r="C106" s="10" t="s">
        <v>10</v>
      </c>
      <c r="D106" s="3">
        <v>700</v>
      </c>
      <c r="E106" s="3">
        <v>249.6</v>
      </c>
      <c r="F106" s="3"/>
      <c r="G106" s="3">
        <v>700</v>
      </c>
      <c r="H106" s="42"/>
      <c r="I106" s="6"/>
    </row>
    <row r="107" spans="1:9" x14ac:dyDescent="0.35">
      <c r="A107" s="12" t="s">
        <v>49</v>
      </c>
      <c r="B107" s="12" t="s">
        <v>50</v>
      </c>
      <c r="C107" s="10" t="s">
        <v>10</v>
      </c>
      <c r="D107" s="3">
        <v>200</v>
      </c>
      <c r="E107" s="3">
        <v>219.74</v>
      </c>
      <c r="F107" s="3"/>
      <c r="G107" s="3">
        <v>200</v>
      </c>
      <c r="H107" s="42"/>
      <c r="I107" s="6"/>
    </row>
    <row r="108" spans="1:9" x14ac:dyDescent="0.35">
      <c r="A108" s="68" t="s">
        <v>51</v>
      </c>
      <c r="B108" s="71" t="s">
        <v>211</v>
      </c>
      <c r="C108" s="10" t="s">
        <v>10</v>
      </c>
      <c r="D108" s="3">
        <f>12697.44+1000</f>
        <v>13697.44</v>
      </c>
      <c r="E108" s="3">
        <v>6348.72</v>
      </c>
      <c r="F108" s="3"/>
      <c r="G108" s="3">
        <f>12697.44+1000</f>
        <v>13697.44</v>
      </c>
      <c r="H108" s="76" t="s">
        <v>254</v>
      </c>
      <c r="I108" s="6"/>
    </row>
    <row r="109" spans="1:9" x14ac:dyDescent="0.35">
      <c r="A109" s="81"/>
      <c r="B109" s="85"/>
      <c r="C109" s="10" t="s">
        <v>35</v>
      </c>
      <c r="D109" s="3">
        <v>2800</v>
      </c>
      <c r="E109" s="3">
        <v>0</v>
      </c>
      <c r="F109" s="3">
        <v>-2800</v>
      </c>
      <c r="G109" s="3">
        <f>2800-2800</f>
        <v>0</v>
      </c>
      <c r="H109" s="77"/>
      <c r="I109" s="6"/>
    </row>
    <row r="110" spans="1:9" x14ac:dyDescent="0.35">
      <c r="A110" s="81"/>
      <c r="B110" s="85"/>
      <c r="C110" s="10" t="s">
        <v>174</v>
      </c>
      <c r="D110" s="3">
        <f>1600-500</f>
        <v>1100</v>
      </c>
      <c r="E110" s="3">
        <v>1100</v>
      </c>
      <c r="F110" s="3"/>
      <c r="G110" s="3">
        <f>1600-500</f>
        <v>1100</v>
      </c>
      <c r="H110" s="42"/>
      <c r="I110" s="6"/>
    </row>
    <row r="111" spans="1:9" ht="30" customHeight="1" x14ac:dyDescent="0.35">
      <c r="A111" s="69"/>
      <c r="B111" s="72"/>
      <c r="C111" s="19" t="s">
        <v>196</v>
      </c>
      <c r="D111" s="17">
        <f>500+1000+4000</f>
        <v>5500</v>
      </c>
      <c r="E111" s="17">
        <v>500</v>
      </c>
      <c r="F111" s="17"/>
      <c r="G111" s="17">
        <f>500+1000+4000</f>
        <v>5500</v>
      </c>
      <c r="H111" s="43"/>
      <c r="I111" s="6"/>
    </row>
    <row r="112" spans="1:9" x14ac:dyDescent="0.35">
      <c r="A112" s="68">
        <v>4141</v>
      </c>
      <c r="B112" s="73" t="s">
        <v>197</v>
      </c>
      <c r="C112" s="10" t="s">
        <v>10</v>
      </c>
      <c r="D112" s="3">
        <f>14000-750</f>
        <v>13250</v>
      </c>
      <c r="E112" s="3">
        <v>10750</v>
      </c>
      <c r="F112" s="3">
        <v>-2500</v>
      </c>
      <c r="G112" s="3">
        <f>14000-750-2500</f>
        <v>10750</v>
      </c>
      <c r="H112" s="42" t="s">
        <v>257</v>
      </c>
      <c r="I112" s="6"/>
    </row>
    <row r="113" spans="1:9" ht="29" x14ac:dyDescent="0.35">
      <c r="A113" s="81"/>
      <c r="B113" s="86"/>
      <c r="C113" s="19" t="s">
        <v>196</v>
      </c>
      <c r="D113" s="17">
        <f>750+750+6000</f>
        <v>7500</v>
      </c>
      <c r="E113" s="17">
        <v>750</v>
      </c>
      <c r="F113" s="17"/>
      <c r="G113" s="17">
        <f>750+750+6000</f>
        <v>7500</v>
      </c>
      <c r="H113" s="43"/>
      <c r="I113" s="6"/>
    </row>
    <row r="114" spans="1:9" ht="29" x14ac:dyDescent="0.35">
      <c r="A114" s="69"/>
      <c r="B114" s="74"/>
      <c r="C114" s="19" t="s">
        <v>193</v>
      </c>
      <c r="D114" s="17">
        <v>3000</v>
      </c>
      <c r="E114" s="17">
        <v>3000</v>
      </c>
      <c r="F114" s="17"/>
      <c r="G114" s="17">
        <v>3000</v>
      </c>
      <c r="H114" s="43"/>
      <c r="I114" s="6"/>
    </row>
    <row r="115" spans="1:9" x14ac:dyDescent="0.35">
      <c r="A115" s="12" t="s">
        <v>52</v>
      </c>
      <c r="B115" s="10" t="s">
        <v>53</v>
      </c>
      <c r="C115" s="10" t="s">
        <v>10</v>
      </c>
      <c r="D115" s="3">
        <v>3287.28</v>
      </c>
      <c r="E115" s="3">
        <v>1643.64</v>
      </c>
      <c r="F115" s="3"/>
      <c r="G115" s="3">
        <v>3287.28</v>
      </c>
      <c r="H115" s="42"/>
      <c r="I115" s="6"/>
    </row>
    <row r="116" spans="1:9" x14ac:dyDescent="0.35">
      <c r="A116" s="11">
        <v>41492</v>
      </c>
      <c r="B116" s="10" t="s">
        <v>54</v>
      </c>
      <c r="C116" s="10" t="s">
        <v>10</v>
      </c>
      <c r="D116" s="3">
        <v>3000</v>
      </c>
      <c r="E116" s="3">
        <v>1475.96</v>
      </c>
      <c r="F116" s="3"/>
      <c r="G116" s="3">
        <v>3000</v>
      </c>
      <c r="H116" s="42"/>
      <c r="I116" s="6"/>
    </row>
    <row r="117" spans="1:9" x14ac:dyDescent="0.35">
      <c r="A117" s="12" t="s">
        <v>55</v>
      </c>
      <c r="B117" s="10" t="s">
        <v>56</v>
      </c>
      <c r="C117" s="10" t="s">
        <v>35</v>
      </c>
      <c r="D117" s="3">
        <v>180</v>
      </c>
      <c r="E117" s="3">
        <v>180</v>
      </c>
      <c r="F117" s="3"/>
      <c r="G117" s="3">
        <v>180</v>
      </c>
      <c r="H117" s="42"/>
      <c r="I117" s="6"/>
    </row>
    <row r="118" spans="1:9" ht="28.9" customHeight="1" x14ac:dyDescent="0.35">
      <c r="A118" s="13" t="s">
        <v>57</v>
      </c>
      <c r="B118" s="57" t="s">
        <v>58</v>
      </c>
      <c r="C118" s="9" t="s">
        <v>10</v>
      </c>
      <c r="D118" s="17">
        <f>9600+550-280-100-720</f>
        <v>9050</v>
      </c>
      <c r="E118" s="17">
        <f>4649.91-500</f>
        <v>4149.91</v>
      </c>
      <c r="F118" s="17"/>
      <c r="G118" s="17">
        <f>9600+550-280-100-720</f>
        <v>9050</v>
      </c>
      <c r="H118" s="43"/>
      <c r="I118" s="6"/>
    </row>
    <row r="119" spans="1:9" ht="13.9" customHeight="1" x14ac:dyDescent="0.35">
      <c r="A119" s="68">
        <v>4150</v>
      </c>
      <c r="B119" s="57" t="s">
        <v>262</v>
      </c>
      <c r="C119" s="9" t="s">
        <v>174</v>
      </c>
      <c r="D119" s="17">
        <f>1200+300+4400</f>
        <v>5900</v>
      </c>
      <c r="E119" s="17">
        <f>1250.39+500</f>
        <v>1750.39</v>
      </c>
      <c r="F119" s="17">
        <v>-4149.6099999999997</v>
      </c>
      <c r="G119" s="17">
        <f>1200+300+4400-4149.61</f>
        <v>1750.3900000000003</v>
      </c>
      <c r="H119" s="76" t="s">
        <v>258</v>
      </c>
      <c r="I119" s="6"/>
    </row>
    <row r="120" spans="1:9" ht="13.9" customHeight="1" x14ac:dyDescent="0.35">
      <c r="A120" s="69"/>
      <c r="B120" s="57" t="s">
        <v>263</v>
      </c>
      <c r="C120" s="10" t="s">
        <v>239</v>
      </c>
      <c r="D120" s="17">
        <v>0</v>
      </c>
      <c r="E120" s="17">
        <v>0</v>
      </c>
      <c r="F120" s="17">
        <v>4700</v>
      </c>
      <c r="G120" s="17">
        <v>4700</v>
      </c>
      <c r="H120" s="77"/>
      <c r="I120" s="6"/>
    </row>
    <row r="121" spans="1:9" ht="13.9" customHeight="1" x14ac:dyDescent="0.35">
      <c r="A121" s="68">
        <v>4150</v>
      </c>
      <c r="B121" s="71" t="s">
        <v>212</v>
      </c>
      <c r="C121" s="9" t="s">
        <v>183</v>
      </c>
      <c r="D121" s="17">
        <v>720</v>
      </c>
      <c r="E121" s="17">
        <v>720</v>
      </c>
      <c r="F121" s="17"/>
      <c r="G121" s="17">
        <v>720</v>
      </c>
      <c r="H121" s="43"/>
      <c r="I121" s="6"/>
    </row>
    <row r="122" spans="1:9" ht="25.5" customHeight="1" x14ac:dyDescent="0.35">
      <c r="A122" s="69"/>
      <c r="B122" s="72"/>
      <c r="C122" s="19" t="s">
        <v>194</v>
      </c>
      <c r="D122" s="17">
        <v>280</v>
      </c>
      <c r="E122" s="17">
        <v>0</v>
      </c>
      <c r="F122" s="17"/>
      <c r="G122" s="17">
        <v>280</v>
      </c>
      <c r="H122" s="43"/>
      <c r="I122" s="6"/>
    </row>
    <row r="123" spans="1:9" ht="15" customHeight="1" x14ac:dyDescent="0.35">
      <c r="A123" s="13">
        <v>4150</v>
      </c>
      <c r="B123" s="57" t="s">
        <v>59</v>
      </c>
      <c r="C123" s="10" t="s">
        <v>35</v>
      </c>
      <c r="D123" s="3">
        <v>2000</v>
      </c>
      <c r="E123" s="3">
        <v>2071.4</v>
      </c>
      <c r="F123" s="3"/>
      <c r="G123" s="3">
        <v>2000</v>
      </c>
      <c r="H123" s="42"/>
      <c r="I123" s="6"/>
    </row>
    <row r="124" spans="1:9" ht="15" customHeight="1" x14ac:dyDescent="0.35">
      <c r="A124" s="68">
        <v>4160</v>
      </c>
      <c r="B124" s="71" t="s">
        <v>178</v>
      </c>
      <c r="C124" s="10" t="s">
        <v>174</v>
      </c>
      <c r="D124" s="3">
        <f>1870+750</f>
        <v>2620</v>
      </c>
      <c r="E124" s="3">
        <v>1500</v>
      </c>
      <c r="F124" s="3">
        <v>-1120</v>
      </c>
      <c r="G124" s="3">
        <f>1870+750-1120</f>
        <v>1500</v>
      </c>
      <c r="H124" s="76" t="s">
        <v>266</v>
      </c>
      <c r="I124" s="6"/>
    </row>
    <row r="125" spans="1:9" ht="34.9" customHeight="1" x14ac:dyDescent="0.35">
      <c r="A125" s="69"/>
      <c r="B125" s="72"/>
      <c r="C125" s="18" t="s">
        <v>237</v>
      </c>
      <c r="D125" s="17">
        <v>0</v>
      </c>
      <c r="E125" s="17">
        <v>1044.01</v>
      </c>
      <c r="F125" s="17">
        <v>1044.01</v>
      </c>
      <c r="G125" s="17">
        <v>1044.01</v>
      </c>
      <c r="H125" s="77"/>
      <c r="I125" s="6"/>
    </row>
    <row r="126" spans="1:9" ht="15" customHeight="1" x14ac:dyDescent="0.35">
      <c r="A126" s="8">
        <v>4162</v>
      </c>
      <c r="B126" s="18" t="s">
        <v>60</v>
      </c>
      <c r="C126" s="10" t="s">
        <v>10</v>
      </c>
      <c r="D126" s="3">
        <v>127100</v>
      </c>
      <c r="E126" s="3">
        <v>86768.67</v>
      </c>
      <c r="F126" s="3"/>
      <c r="G126" s="3">
        <v>127100</v>
      </c>
      <c r="H126" s="42"/>
      <c r="I126" s="6"/>
    </row>
    <row r="127" spans="1:9" ht="15" customHeight="1" x14ac:dyDescent="0.35">
      <c r="A127" s="12" t="s">
        <v>61</v>
      </c>
      <c r="B127" s="12" t="s">
        <v>62</v>
      </c>
      <c r="C127" s="10" t="s">
        <v>10</v>
      </c>
      <c r="D127" s="3">
        <v>6600</v>
      </c>
      <c r="E127" s="3">
        <v>3300</v>
      </c>
      <c r="F127" s="3"/>
      <c r="G127" s="3">
        <v>6600</v>
      </c>
      <c r="H127" s="42"/>
      <c r="I127" s="6"/>
    </row>
    <row r="128" spans="1:9" ht="15" customHeight="1" x14ac:dyDescent="0.35">
      <c r="A128" s="11">
        <v>41670</v>
      </c>
      <c r="B128" s="10" t="s">
        <v>63</v>
      </c>
      <c r="C128" s="10" t="s">
        <v>10</v>
      </c>
      <c r="D128" s="3">
        <v>5400</v>
      </c>
      <c r="E128" s="3">
        <v>2700</v>
      </c>
      <c r="F128" s="3"/>
      <c r="G128" s="3">
        <v>5400</v>
      </c>
      <c r="H128" s="42"/>
      <c r="I128" s="6"/>
    </row>
    <row r="129" spans="1:9" ht="15" customHeight="1" x14ac:dyDescent="0.35">
      <c r="A129" s="11">
        <v>41671</v>
      </c>
      <c r="B129" s="10" t="s">
        <v>64</v>
      </c>
      <c r="C129" s="10" t="s">
        <v>10</v>
      </c>
      <c r="D129" s="3">
        <v>1300</v>
      </c>
      <c r="E129" s="3">
        <v>124.66</v>
      </c>
      <c r="F129" s="3"/>
      <c r="G129" s="3">
        <v>1300</v>
      </c>
      <c r="H129" s="42"/>
      <c r="I129" s="6"/>
    </row>
    <row r="130" spans="1:9" ht="15" customHeight="1" x14ac:dyDescent="0.35">
      <c r="A130" s="63">
        <v>4169</v>
      </c>
      <c r="B130" s="55" t="s">
        <v>272</v>
      </c>
      <c r="C130" s="55" t="s">
        <v>10</v>
      </c>
      <c r="D130" s="3">
        <v>0</v>
      </c>
      <c r="E130" s="3">
        <v>0</v>
      </c>
      <c r="F130" s="3">
        <v>600</v>
      </c>
      <c r="G130" s="3">
        <v>600</v>
      </c>
      <c r="H130" s="42" t="s">
        <v>267</v>
      </c>
      <c r="I130" s="6"/>
    </row>
    <row r="131" spans="1:9" ht="15" customHeight="1" x14ac:dyDescent="0.35">
      <c r="A131" s="13" t="s">
        <v>65</v>
      </c>
      <c r="B131" s="13" t="s">
        <v>66</v>
      </c>
      <c r="C131" s="12" t="s">
        <v>7</v>
      </c>
      <c r="D131" s="3">
        <v>9600</v>
      </c>
      <c r="E131" s="3">
        <v>7164.15</v>
      </c>
      <c r="F131" s="3">
        <v>4415</v>
      </c>
      <c r="G131" s="3">
        <f>9600+4415</f>
        <v>14015</v>
      </c>
      <c r="H131" s="42" t="s">
        <v>268</v>
      </c>
      <c r="I131" s="6"/>
    </row>
    <row r="132" spans="1:9" ht="15" customHeight="1" x14ac:dyDescent="0.35">
      <c r="A132" s="13" t="s">
        <v>67</v>
      </c>
      <c r="B132" s="50" t="s">
        <v>68</v>
      </c>
      <c r="C132" s="12" t="s">
        <v>7</v>
      </c>
      <c r="D132" s="3">
        <v>2200</v>
      </c>
      <c r="E132" s="3">
        <v>716.18</v>
      </c>
      <c r="F132" s="17"/>
      <c r="G132" s="3">
        <v>2200</v>
      </c>
      <c r="H132" s="42"/>
      <c r="I132" s="6"/>
    </row>
    <row r="133" spans="1:9" ht="15" customHeight="1" x14ac:dyDescent="0.35">
      <c r="A133" s="13" t="s">
        <v>69</v>
      </c>
      <c r="B133" s="13" t="s">
        <v>70</v>
      </c>
      <c r="C133" s="12" t="s">
        <v>7</v>
      </c>
      <c r="D133" s="3">
        <v>1300</v>
      </c>
      <c r="E133" s="3">
        <v>546.05999999999995</v>
      </c>
      <c r="F133" s="3"/>
      <c r="G133" s="3">
        <v>1300</v>
      </c>
      <c r="H133" s="42"/>
      <c r="I133" s="6"/>
    </row>
    <row r="134" spans="1:9" ht="30" customHeight="1" x14ac:dyDescent="0.35">
      <c r="A134" s="64" t="s">
        <v>71</v>
      </c>
      <c r="B134" s="18" t="s">
        <v>72</v>
      </c>
      <c r="C134" s="9" t="s">
        <v>7</v>
      </c>
      <c r="D134" s="17">
        <v>4550</v>
      </c>
      <c r="E134" s="17">
        <v>2437</v>
      </c>
      <c r="F134" s="65"/>
      <c r="G134" s="17">
        <v>4550</v>
      </c>
      <c r="H134" s="43"/>
      <c r="I134" s="6"/>
    </row>
    <row r="135" spans="1:9" ht="15" customHeight="1" x14ac:dyDescent="0.35">
      <c r="A135" s="11">
        <v>4175</v>
      </c>
      <c r="B135" s="19" t="s">
        <v>73</v>
      </c>
      <c r="C135" s="10" t="s">
        <v>10</v>
      </c>
      <c r="D135" s="3">
        <v>200</v>
      </c>
      <c r="E135" s="3">
        <v>0</v>
      </c>
      <c r="F135" s="3"/>
      <c r="G135" s="3">
        <v>200</v>
      </c>
      <c r="H135" s="42"/>
      <c r="I135" s="6"/>
    </row>
    <row r="136" spans="1:9" ht="15" customHeight="1" x14ac:dyDescent="0.35">
      <c r="A136" s="12" t="s">
        <v>74</v>
      </c>
      <c r="B136" s="12" t="s">
        <v>75</v>
      </c>
      <c r="C136" s="9" t="s">
        <v>7</v>
      </c>
      <c r="D136" s="3">
        <v>400</v>
      </c>
      <c r="E136" s="3">
        <v>150.38</v>
      </c>
      <c r="F136" s="3"/>
      <c r="G136" s="3">
        <v>400</v>
      </c>
      <c r="H136" s="42"/>
      <c r="I136" s="6"/>
    </row>
    <row r="137" spans="1:9" ht="15" customHeight="1" x14ac:dyDescent="0.35">
      <c r="A137" s="12" t="s">
        <v>76</v>
      </c>
      <c r="B137" s="10" t="s">
        <v>77</v>
      </c>
      <c r="C137" s="9" t="s">
        <v>7</v>
      </c>
      <c r="D137" s="3">
        <v>3700</v>
      </c>
      <c r="E137" s="3">
        <v>209.8</v>
      </c>
      <c r="F137" s="3"/>
      <c r="G137" s="3">
        <v>3700</v>
      </c>
      <c r="H137" s="42"/>
      <c r="I137" s="6"/>
    </row>
    <row r="138" spans="1:9" ht="15" customHeight="1" x14ac:dyDescent="0.35">
      <c r="A138" s="63">
        <v>4179</v>
      </c>
      <c r="B138" s="10" t="s">
        <v>264</v>
      </c>
      <c r="C138" s="12" t="s">
        <v>7</v>
      </c>
      <c r="D138" s="3">
        <v>0</v>
      </c>
      <c r="E138" s="3">
        <v>0</v>
      </c>
      <c r="F138" s="3">
        <v>3500</v>
      </c>
      <c r="G138" s="3">
        <v>3500</v>
      </c>
      <c r="H138" s="42" t="s">
        <v>268</v>
      </c>
      <c r="I138" s="6"/>
    </row>
    <row r="139" spans="1:9" ht="15" customHeight="1" x14ac:dyDescent="0.35">
      <c r="A139" s="78" t="s">
        <v>78</v>
      </c>
      <c r="B139" s="11" t="s">
        <v>79</v>
      </c>
      <c r="C139" s="16" t="s">
        <v>10</v>
      </c>
      <c r="D139" s="66">
        <v>3000</v>
      </c>
      <c r="E139" s="66">
        <f>3448.47+671.8+411.7</f>
        <v>4531.9699999999993</v>
      </c>
      <c r="F139" s="66">
        <f>1550+1300+800+1053</f>
        <v>4703</v>
      </c>
      <c r="G139" s="66">
        <f>D139+4703</f>
        <v>7703</v>
      </c>
      <c r="H139" s="76" t="s">
        <v>270</v>
      </c>
      <c r="I139" s="6"/>
    </row>
    <row r="140" spans="1:9" ht="30.75" customHeight="1" x14ac:dyDescent="0.35">
      <c r="A140" s="79"/>
      <c r="B140" s="8" t="s">
        <v>80</v>
      </c>
      <c r="C140" s="67" t="s">
        <v>81</v>
      </c>
      <c r="D140" s="20">
        <v>900</v>
      </c>
      <c r="E140" s="20">
        <f>1205.52-411.7</f>
        <v>793.81999999999994</v>
      </c>
      <c r="F140" s="20">
        <v>300</v>
      </c>
      <c r="G140" s="20">
        <f>900+300</f>
        <v>1200</v>
      </c>
      <c r="H140" s="87"/>
      <c r="I140" s="6"/>
    </row>
    <row r="141" spans="1:9" ht="15" customHeight="1" x14ac:dyDescent="0.35">
      <c r="A141" s="79"/>
      <c r="B141" s="11" t="s">
        <v>82</v>
      </c>
      <c r="C141" s="16" t="s">
        <v>10</v>
      </c>
      <c r="D141" s="66">
        <v>700</v>
      </c>
      <c r="E141" s="66">
        <v>875</v>
      </c>
      <c r="F141" s="66">
        <v>900</v>
      </c>
      <c r="G141" s="66">
        <f>700+900</f>
        <v>1600</v>
      </c>
      <c r="H141" s="87"/>
      <c r="I141" s="6"/>
    </row>
    <row r="142" spans="1:9" x14ac:dyDescent="0.35">
      <c r="A142" s="79"/>
      <c r="B142" s="11" t="s">
        <v>83</v>
      </c>
      <c r="C142" s="16" t="s">
        <v>10</v>
      </c>
      <c r="D142" s="66">
        <v>700</v>
      </c>
      <c r="E142" s="66">
        <v>0</v>
      </c>
      <c r="F142" s="66"/>
      <c r="G142" s="66">
        <v>700</v>
      </c>
      <c r="H142" s="87"/>
      <c r="I142" s="6"/>
    </row>
    <row r="143" spans="1:9" x14ac:dyDescent="0.35">
      <c r="A143" s="79"/>
      <c r="B143" s="11" t="s">
        <v>265</v>
      </c>
      <c r="C143" s="16" t="s">
        <v>10</v>
      </c>
      <c r="D143" s="66">
        <v>0</v>
      </c>
      <c r="E143" s="66">
        <v>0</v>
      </c>
      <c r="F143" s="66">
        <v>2500</v>
      </c>
      <c r="G143" s="66">
        <v>2500</v>
      </c>
      <c r="H143" s="87"/>
      <c r="I143" s="6"/>
    </row>
    <row r="144" spans="1:9" x14ac:dyDescent="0.35">
      <c r="A144" s="79"/>
      <c r="B144" s="68" t="s">
        <v>84</v>
      </c>
      <c r="C144" s="62" t="s">
        <v>35</v>
      </c>
      <c r="D144" s="20">
        <v>9000</v>
      </c>
      <c r="E144" s="20">
        <v>9000</v>
      </c>
      <c r="F144" s="20"/>
      <c r="G144" s="20">
        <v>9000</v>
      </c>
      <c r="H144" s="87"/>
      <c r="I144" s="6"/>
    </row>
    <row r="145" spans="1:9" x14ac:dyDescent="0.35">
      <c r="A145" s="79"/>
      <c r="B145" s="69"/>
      <c r="C145" s="16" t="s">
        <v>10</v>
      </c>
      <c r="D145" s="20">
        <v>3500</v>
      </c>
      <c r="E145" s="20">
        <v>9536.7000000000007</v>
      </c>
      <c r="F145" s="20">
        <v>6036.7</v>
      </c>
      <c r="G145" s="20">
        <f>3500+6036.7</f>
        <v>9536.7000000000007</v>
      </c>
      <c r="H145" s="87"/>
      <c r="I145" s="6"/>
    </row>
    <row r="146" spans="1:9" x14ac:dyDescent="0.35">
      <c r="A146" s="79"/>
      <c r="B146" s="8" t="s">
        <v>185</v>
      </c>
      <c r="C146" s="62" t="s">
        <v>174</v>
      </c>
      <c r="D146" s="20">
        <f>5900-1750</f>
        <v>4150</v>
      </c>
      <c r="E146" s="20">
        <f>4821.8-671.8</f>
        <v>4150</v>
      </c>
      <c r="F146" s="20"/>
      <c r="G146" s="20">
        <f>5900-1750</f>
        <v>4150</v>
      </c>
      <c r="H146" s="87"/>
      <c r="I146" s="6"/>
    </row>
    <row r="147" spans="1:9" ht="29" x14ac:dyDescent="0.35">
      <c r="A147" s="79"/>
      <c r="B147" s="8" t="s">
        <v>198</v>
      </c>
      <c r="C147" s="67" t="s">
        <v>196</v>
      </c>
      <c r="D147" s="20">
        <f>1750+750+7000</f>
        <v>9500</v>
      </c>
      <c r="E147" s="20">
        <v>2100.1999999999998</v>
      </c>
      <c r="F147" s="20"/>
      <c r="G147" s="20">
        <f>1750+750+7000</f>
        <v>9500</v>
      </c>
      <c r="H147" s="87"/>
      <c r="I147" s="6"/>
    </row>
    <row r="148" spans="1:9" x14ac:dyDescent="0.35">
      <c r="A148" s="80"/>
      <c r="B148" s="11" t="s">
        <v>85</v>
      </c>
      <c r="C148" s="16" t="s">
        <v>38</v>
      </c>
      <c r="D148" s="66">
        <v>2000</v>
      </c>
      <c r="E148" s="66">
        <v>0</v>
      </c>
      <c r="F148" s="66">
        <v>6100</v>
      </c>
      <c r="G148" s="66">
        <f>2000+6100</f>
        <v>8100</v>
      </c>
      <c r="H148" s="77"/>
      <c r="I148" s="6"/>
    </row>
    <row r="149" spans="1:9" x14ac:dyDescent="0.35">
      <c r="A149" s="12" t="s">
        <v>86</v>
      </c>
      <c r="B149" s="12" t="s">
        <v>87</v>
      </c>
      <c r="C149" s="10" t="s">
        <v>10</v>
      </c>
      <c r="D149" s="3">
        <v>300</v>
      </c>
      <c r="E149" s="3">
        <v>230.12</v>
      </c>
      <c r="F149" s="3"/>
      <c r="G149" s="3">
        <v>300</v>
      </c>
      <c r="H149" s="42"/>
      <c r="I149" s="6"/>
    </row>
    <row r="150" spans="1:9" ht="29" x14ac:dyDescent="0.35">
      <c r="A150" s="15">
        <v>4199</v>
      </c>
      <c r="B150" s="33" t="s">
        <v>203</v>
      </c>
      <c r="C150" s="9" t="s">
        <v>10</v>
      </c>
      <c r="D150" s="20">
        <f>4740-3240</f>
        <v>1500</v>
      </c>
      <c r="E150" s="20">
        <v>1540</v>
      </c>
      <c r="F150" s="20"/>
      <c r="G150" s="20">
        <f>4740-3240</f>
        <v>1500</v>
      </c>
      <c r="H150" s="43"/>
      <c r="I150" s="6"/>
    </row>
    <row r="151" spans="1:9" x14ac:dyDescent="0.35">
      <c r="A151" s="68">
        <v>4199</v>
      </c>
      <c r="B151" s="78" t="s">
        <v>204</v>
      </c>
      <c r="C151" s="9" t="s">
        <v>174</v>
      </c>
      <c r="D151" s="20">
        <v>3240</v>
      </c>
      <c r="E151" s="20">
        <v>0</v>
      </c>
      <c r="F151" s="20">
        <v>-3240</v>
      </c>
      <c r="G151" s="20">
        <f>3240-3240</f>
        <v>0</v>
      </c>
      <c r="H151" s="76" t="s">
        <v>271</v>
      </c>
      <c r="I151" s="6"/>
    </row>
    <row r="152" spans="1:9" ht="43.5" x14ac:dyDescent="0.35">
      <c r="A152" s="69"/>
      <c r="B152" s="80"/>
      <c r="C152" s="19" t="s">
        <v>237</v>
      </c>
      <c r="D152" s="20">
        <v>0</v>
      </c>
      <c r="E152" s="20">
        <v>4418.88</v>
      </c>
      <c r="F152" s="20">
        <v>4418.88</v>
      </c>
      <c r="G152" s="20">
        <v>4418.88</v>
      </c>
      <c r="H152" s="77"/>
      <c r="I152" s="6"/>
    </row>
    <row r="153" spans="1:9" ht="51.75" customHeight="1" x14ac:dyDescent="0.35">
      <c r="A153" s="15">
        <v>4199</v>
      </c>
      <c r="B153" s="33" t="s">
        <v>210</v>
      </c>
      <c r="C153" s="18" t="s">
        <v>196</v>
      </c>
      <c r="D153" s="20">
        <v>3000</v>
      </c>
      <c r="E153" s="20">
        <v>0</v>
      </c>
      <c r="F153" s="20"/>
      <c r="G153" s="20">
        <v>3000</v>
      </c>
      <c r="H153" s="43"/>
      <c r="I153" s="6"/>
    </row>
    <row r="154" spans="1:9" x14ac:dyDescent="0.35">
      <c r="A154" s="21">
        <v>42</v>
      </c>
      <c r="B154" s="22" t="s">
        <v>11</v>
      </c>
      <c r="C154" s="22"/>
      <c r="D154" s="5">
        <f>SUM(D155:D166)</f>
        <v>347874.31</v>
      </c>
      <c r="E154" s="5">
        <f>SUM(E155:E166)</f>
        <v>163697.86000000002</v>
      </c>
      <c r="F154" s="5">
        <f>SUM(F155:F166)</f>
        <v>0</v>
      </c>
      <c r="G154" s="5">
        <f>SUM(G155:G166)</f>
        <v>347874.31</v>
      </c>
      <c r="H154" s="47"/>
    </row>
    <row r="155" spans="1:9" x14ac:dyDescent="0.35">
      <c r="A155" s="82"/>
      <c r="B155" s="82" t="s">
        <v>11</v>
      </c>
      <c r="C155" s="10" t="s">
        <v>35</v>
      </c>
      <c r="D155" s="3">
        <f>78602-19000+147</f>
        <v>59749</v>
      </c>
      <c r="E155" s="3">
        <f>54679.94-3194.94</f>
        <v>51485</v>
      </c>
      <c r="F155" s="3">
        <v>-3524</v>
      </c>
      <c r="G155" s="3">
        <f>78602-19000+147-3524</f>
        <v>56225</v>
      </c>
      <c r="H155" s="76" t="s">
        <v>273</v>
      </c>
    </row>
    <row r="156" spans="1:9" ht="29" x14ac:dyDescent="0.35">
      <c r="A156" s="82"/>
      <c r="B156" s="82"/>
      <c r="C156" s="19" t="s">
        <v>193</v>
      </c>
      <c r="D156" s="17">
        <v>7000</v>
      </c>
      <c r="E156" s="17">
        <v>1000</v>
      </c>
      <c r="F156" s="17"/>
      <c r="G156" s="17">
        <v>7000</v>
      </c>
      <c r="H156" s="87"/>
    </row>
    <row r="157" spans="1:9" x14ac:dyDescent="0.35">
      <c r="A157" s="82"/>
      <c r="B157" s="82"/>
      <c r="C157" s="10" t="s">
        <v>88</v>
      </c>
      <c r="D157" s="17">
        <v>19000</v>
      </c>
      <c r="E157" s="3">
        <f>2901.37+764.19</f>
        <v>3665.56</v>
      </c>
      <c r="F157" s="17">
        <v>-9500</v>
      </c>
      <c r="G157" s="3">
        <f>19000-9500</f>
        <v>9500</v>
      </c>
      <c r="H157" s="87"/>
    </row>
    <row r="158" spans="1:9" x14ac:dyDescent="0.35">
      <c r="A158" s="82"/>
      <c r="B158" s="82"/>
      <c r="C158" s="10" t="s">
        <v>7</v>
      </c>
      <c r="D158" s="3">
        <f>85891.19+5.61</f>
        <v>85896.8</v>
      </c>
      <c r="E158" s="3">
        <f>45242.94+3194.94</f>
        <v>48437.880000000005</v>
      </c>
      <c r="F158" s="3">
        <v>-4750</v>
      </c>
      <c r="G158" s="3">
        <f>85891.19+5.61-4750</f>
        <v>81146.8</v>
      </c>
      <c r="H158" s="87"/>
    </row>
    <row r="159" spans="1:9" x14ac:dyDescent="0.35">
      <c r="A159" s="82"/>
      <c r="B159" s="82"/>
      <c r="C159" s="10" t="s">
        <v>10</v>
      </c>
      <c r="D159" s="3">
        <f>128241.67-13218.75-25781.25</f>
        <v>89241.67</v>
      </c>
      <c r="E159" s="3">
        <f>6836.42+1000+1000+3000-4990+1157.55</f>
        <v>8003.97</v>
      </c>
      <c r="F159" s="3">
        <v>15478.39</v>
      </c>
      <c r="G159" s="3">
        <f>D159+15478.39</f>
        <v>104720.06</v>
      </c>
      <c r="H159" s="87"/>
    </row>
    <row r="160" spans="1:9" ht="29" x14ac:dyDescent="0.35">
      <c r="A160" s="82"/>
      <c r="B160" s="82"/>
      <c r="C160" s="19" t="s">
        <v>194</v>
      </c>
      <c r="D160" s="17">
        <v>3500</v>
      </c>
      <c r="E160" s="17">
        <v>1000</v>
      </c>
      <c r="F160" s="17"/>
      <c r="G160" s="17">
        <v>3500</v>
      </c>
      <c r="H160" s="87"/>
    </row>
    <row r="161" spans="1:9" ht="29" x14ac:dyDescent="0.35">
      <c r="A161" s="82"/>
      <c r="B161" s="82"/>
      <c r="C161" s="19" t="s">
        <v>196</v>
      </c>
      <c r="D161" s="17">
        <v>13218.75</v>
      </c>
      <c r="E161" s="17">
        <v>13218.75</v>
      </c>
      <c r="F161" s="17"/>
      <c r="G161" s="17">
        <v>13218.75</v>
      </c>
      <c r="H161" s="87"/>
    </row>
    <row r="162" spans="1:9" ht="43.5" x14ac:dyDescent="0.35">
      <c r="A162" s="82"/>
      <c r="B162" s="82"/>
      <c r="C162" s="19" t="s">
        <v>195</v>
      </c>
      <c r="D162" s="17">
        <v>25781.25</v>
      </c>
      <c r="E162" s="17">
        <f>6596.25+4308</f>
        <v>10904.25</v>
      </c>
      <c r="F162" s="17"/>
      <c r="G162" s="17">
        <v>25781.25</v>
      </c>
      <c r="H162" s="87"/>
    </row>
    <row r="163" spans="1:9" x14ac:dyDescent="0.35">
      <c r="A163" s="82"/>
      <c r="B163" s="82"/>
      <c r="C163" s="10" t="s">
        <v>174</v>
      </c>
      <c r="D163" s="3">
        <f>9550+10336.84</f>
        <v>19886.84</v>
      </c>
      <c r="E163" s="3">
        <f>9550+4990-1157.55</f>
        <v>13382.45</v>
      </c>
      <c r="F163" s="3">
        <v>-6504.39</v>
      </c>
      <c r="G163" s="3">
        <f>9550+10336.84-6504.39</f>
        <v>13382.45</v>
      </c>
      <c r="H163" s="87"/>
      <c r="I163" s="6"/>
    </row>
    <row r="164" spans="1:9" x14ac:dyDescent="0.35">
      <c r="A164" s="82"/>
      <c r="B164" s="82"/>
      <c r="C164" s="10" t="s">
        <v>239</v>
      </c>
      <c r="D164" s="3">
        <v>0</v>
      </c>
      <c r="E164" s="3">
        <v>0</v>
      </c>
      <c r="F164" s="3">
        <v>8000</v>
      </c>
      <c r="G164" s="3">
        <v>8000</v>
      </c>
      <c r="H164" s="87"/>
    </row>
    <row r="165" spans="1:9" x14ac:dyDescent="0.35">
      <c r="A165" s="82"/>
      <c r="B165" s="82"/>
      <c r="C165" s="10" t="s">
        <v>33</v>
      </c>
      <c r="D165" s="3">
        <f>12600+12000</f>
        <v>24600</v>
      </c>
      <c r="E165" s="3">
        <v>12600</v>
      </c>
      <c r="F165" s="3"/>
      <c r="G165" s="3">
        <f>12600+12000</f>
        <v>24600</v>
      </c>
      <c r="H165" s="87"/>
    </row>
    <row r="166" spans="1:9" x14ac:dyDescent="0.35">
      <c r="A166" s="82"/>
      <c r="B166" s="82"/>
      <c r="C166" s="12" t="s">
        <v>256</v>
      </c>
      <c r="D166" s="3">
        <v>0</v>
      </c>
      <c r="E166" s="3">
        <v>0</v>
      </c>
      <c r="F166" s="3">
        <v>800</v>
      </c>
      <c r="G166" s="3">
        <v>800</v>
      </c>
      <c r="H166" s="77"/>
    </row>
    <row r="167" spans="1:9" x14ac:dyDescent="0.35">
      <c r="A167" s="4" t="s">
        <v>89</v>
      </c>
      <c r="B167" s="4" t="s">
        <v>13</v>
      </c>
      <c r="C167" s="4"/>
      <c r="D167" s="5">
        <f>D168+D169</f>
        <v>17000</v>
      </c>
      <c r="E167" s="5">
        <f>E168+E169</f>
        <v>10216.65</v>
      </c>
      <c r="F167" s="5">
        <f>F168+F169</f>
        <v>0</v>
      </c>
      <c r="G167" s="5">
        <f>G168+G169</f>
        <v>17000</v>
      </c>
      <c r="H167" s="47"/>
    </row>
    <row r="168" spans="1:9" x14ac:dyDescent="0.35">
      <c r="A168" s="11">
        <v>43</v>
      </c>
      <c r="B168" s="12" t="s">
        <v>90</v>
      </c>
      <c r="C168" s="10" t="s">
        <v>10</v>
      </c>
      <c r="D168" s="3">
        <v>12000</v>
      </c>
      <c r="E168" s="3">
        <v>6716.65</v>
      </c>
      <c r="F168" s="3"/>
      <c r="G168" s="3">
        <v>12000</v>
      </c>
      <c r="H168" s="42"/>
    </row>
    <row r="169" spans="1:9" x14ac:dyDescent="0.35">
      <c r="A169" s="11">
        <v>43</v>
      </c>
      <c r="B169" s="12" t="s">
        <v>191</v>
      </c>
      <c r="C169" s="10" t="s">
        <v>35</v>
      </c>
      <c r="D169" s="3">
        <v>5000</v>
      </c>
      <c r="E169" s="3">
        <v>3500</v>
      </c>
      <c r="F169" s="3"/>
      <c r="G169" s="3">
        <v>5000</v>
      </c>
      <c r="H169" s="42"/>
    </row>
    <row r="170" spans="1:9" x14ac:dyDescent="0.35">
      <c r="A170" s="4" t="s">
        <v>91</v>
      </c>
      <c r="B170" s="4" t="s">
        <v>92</v>
      </c>
      <c r="C170" s="4"/>
      <c r="D170" s="23">
        <f>SUM(D171)</f>
        <v>2500</v>
      </c>
      <c r="E170" s="23">
        <f>SUM(E171)</f>
        <v>0</v>
      </c>
      <c r="F170" s="23">
        <f>SUM(F171)</f>
        <v>0</v>
      </c>
      <c r="G170" s="23">
        <f>SUM(G171)</f>
        <v>2500</v>
      </c>
      <c r="H170" s="48"/>
    </row>
    <row r="171" spans="1:9" x14ac:dyDescent="0.35">
      <c r="A171" s="8">
        <v>4452</v>
      </c>
      <c r="B171" s="24" t="s">
        <v>93</v>
      </c>
      <c r="C171" s="9" t="s">
        <v>10</v>
      </c>
      <c r="D171" s="3">
        <v>2500</v>
      </c>
      <c r="E171" s="3">
        <v>0</v>
      </c>
      <c r="F171" s="3"/>
      <c r="G171" s="3">
        <v>2500</v>
      </c>
      <c r="H171" s="42"/>
    </row>
    <row r="172" spans="1:9" x14ac:dyDescent="0.35">
      <c r="A172" s="21">
        <v>45</v>
      </c>
      <c r="B172" s="4" t="s">
        <v>177</v>
      </c>
      <c r="C172" s="4"/>
      <c r="D172" s="23">
        <f>D173</f>
        <v>5000</v>
      </c>
      <c r="E172" s="23">
        <f>E173</f>
        <v>0</v>
      </c>
      <c r="F172" s="23">
        <f>F173</f>
        <v>0</v>
      </c>
      <c r="G172" s="23">
        <f>G173</f>
        <v>5000</v>
      </c>
      <c r="H172" s="48"/>
    </row>
    <row r="173" spans="1:9" x14ac:dyDescent="0.35">
      <c r="A173" s="8">
        <v>45002</v>
      </c>
      <c r="B173" s="24" t="s">
        <v>176</v>
      </c>
      <c r="C173" s="9" t="s">
        <v>10</v>
      </c>
      <c r="D173" s="3">
        <v>5000</v>
      </c>
      <c r="E173" s="3">
        <v>0</v>
      </c>
      <c r="F173" s="3"/>
      <c r="G173" s="3">
        <v>5000</v>
      </c>
      <c r="H173" s="42"/>
    </row>
    <row r="174" spans="1:9" x14ac:dyDescent="0.35">
      <c r="A174" s="4" t="s">
        <v>94</v>
      </c>
      <c r="B174" s="4" t="s">
        <v>15</v>
      </c>
      <c r="C174" s="4"/>
      <c r="D174" s="23">
        <f>SUM(D175:D209)</f>
        <v>112645.42</v>
      </c>
      <c r="E174" s="23">
        <f>SUM(E175:E209)</f>
        <v>64216.88</v>
      </c>
      <c r="F174" s="23">
        <f>SUM(F175:F209)</f>
        <v>14466</v>
      </c>
      <c r="G174" s="23">
        <f>SUM(G175:G209)</f>
        <v>127111.42</v>
      </c>
      <c r="H174" s="48"/>
    </row>
    <row r="175" spans="1:9" ht="15" customHeight="1" x14ac:dyDescent="0.35">
      <c r="A175" s="78" t="s">
        <v>95</v>
      </c>
      <c r="B175" s="78" t="s">
        <v>96</v>
      </c>
      <c r="C175" s="9" t="s">
        <v>10</v>
      </c>
      <c r="D175" s="3">
        <f>13790-2500-1000-720</f>
        <v>9570</v>
      </c>
      <c r="E175" s="3">
        <v>4488.2700000000004</v>
      </c>
      <c r="F175" s="3"/>
      <c r="G175" s="3">
        <f>13790-2500-1000-720</f>
        <v>9570</v>
      </c>
      <c r="H175" s="42"/>
    </row>
    <row r="176" spans="1:9" ht="15" customHeight="1" x14ac:dyDescent="0.35">
      <c r="A176" s="79"/>
      <c r="B176" s="79"/>
      <c r="C176" s="10" t="s">
        <v>38</v>
      </c>
      <c r="D176" s="3">
        <v>2000</v>
      </c>
      <c r="E176" s="3">
        <v>1040.94</v>
      </c>
      <c r="F176" s="3"/>
      <c r="G176" s="3">
        <v>2000</v>
      </c>
      <c r="H176" s="42"/>
    </row>
    <row r="177" spans="1:9" ht="15" customHeight="1" x14ac:dyDescent="0.35">
      <c r="A177" s="79"/>
      <c r="B177" s="79"/>
      <c r="C177" s="10" t="s">
        <v>174</v>
      </c>
      <c r="D177" s="3">
        <v>720</v>
      </c>
      <c r="E177" s="3">
        <f>1926.72+1313.28</f>
        <v>3240</v>
      </c>
      <c r="F177" s="3">
        <v>2520</v>
      </c>
      <c r="G177" s="3">
        <f>720+2520</f>
        <v>3240</v>
      </c>
      <c r="H177" s="42" t="s">
        <v>274</v>
      </c>
    </row>
    <row r="178" spans="1:9" ht="15" customHeight="1" x14ac:dyDescent="0.35">
      <c r="A178" s="79"/>
      <c r="B178" s="79"/>
      <c r="C178" s="19" t="s">
        <v>196</v>
      </c>
      <c r="D178" s="17">
        <v>2500</v>
      </c>
      <c r="E178" s="17">
        <v>0</v>
      </c>
      <c r="F178" s="17"/>
      <c r="G178" s="17">
        <v>2500</v>
      </c>
      <c r="H178" s="43"/>
    </row>
    <row r="179" spans="1:9" ht="27.75" customHeight="1" x14ac:dyDescent="0.35">
      <c r="A179" s="79"/>
      <c r="B179" s="79"/>
      <c r="C179" s="64" t="s">
        <v>256</v>
      </c>
      <c r="D179" s="17">
        <v>0</v>
      </c>
      <c r="E179" s="17">
        <v>0</v>
      </c>
      <c r="F179" s="17">
        <v>1000</v>
      </c>
      <c r="G179" s="17">
        <v>1000</v>
      </c>
      <c r="H179" s="43" t="s">
        <v>274</v>
      </c>
    </row>
    <row r="180" spans="1:9" x14ac:dyDescent="0.35">
      <c r="A180" s="68" t="s">
        <v>97</v>
      </c>
      <c r="B180" s="68" t="s">
        <v>98</v>
      </c>
      <c r="C180" s="10" t="s">
        <v>35</v>
      </c>
      <c r="D180" s="3">
        <v>2871</v>
      </c>
      <c r="E180" s="3">
        <v>1375.57</v>
      </c>
      <c r="F180" s="3"/>
      <c r="G180" s="3">
        <v>2871</v>
      </c>
      <c r="H180" s="42"/>
    </row>
    <row r="181" spans="1:9" x14ac:dyDescent="0.35">
      <c r="A181" s="81"/>
      <c r="B181" s="81"/>
      <c r="C181" s="10" t="s">
        <v>7</v>
      </c>
      <c r="D181" s="3">
        <v>5083.2</v>
      </c>
      <c r="E181" s="3">
        <f>2229.65-143.89</f>
        <v>2085.7600000000002</v>
      </c>
      <c r="F181" s="3"/>
      <c r="G181" s="3">
        <v>5083.2</v>
      </c>
      <c r="H181" s="42"/>
    </row>
    <row r="182" spans="1:9" x14ac:dyDescent="0.35">
      <c r="A182" s="81"/>
      <c r="B182" s="81"/>
      <c r="C182" s="55" t="s">
        <v>174</v>
      </c>
      <c r="D182" s="3">
        <f>433.19+420.34</f>
        <v>853.53</v>
      </c>
      <c r="E182" s="3">
        <v>657.55</v>
      </c>
      <c r="F182" s="3">
        <v>-195.98</v>
      </c>
      <c r="G182" s="3">
        <f>433.19+420.34-195.98</f>
        <v>657.55</v>
      </c>
      <c r="H182" s="42" t="s">
        <v>273</v>
      </c>
      <c r="I182" s="6"/>
    </row>
    <row r="183" spans="1:9" x14ac:dyDescent="0.35">
      <c r="A183" s="81"/>
      <c r="B183" s="81"/>
      <c r="C183" s="55" t="s">
        <v>10</v>
      </c>
      <c r="D183" s="3">
        <v>6885.24</v>
      </c>
      <c r="E183" s="3">
        <f>1745.29-224.36+143.89</f>
        <v>1664.8199999999997</v>
      </c>
      <c r="F183" s="3">
        <v>195.98</v>
      </c>
      <c r="G183" s="3">
        <f>6885.24+195.98</f>
        <v>7081.2199999999993</v>
      </c>
      <c r="H183" s="42"/>
    </row>
    <row r="184" spans="1:9" x14ac:dyDescent="0.35">
      <c r="A184" s="12" t="s">
        <v>99</v>
      </c>
      <c r="B184" s="12" t="s">
        <v>100</v>
      </c>
      <c r="C184" s="10" t="s">
        <v>10</v>
      </c>
      <c r="D184" s="3">
        <f>1820+500</f>
        <v>2320</v>
      </c>
      <c r="E184" s="3">
        <v>0</v>
      </c>
      <c r="F184" s="3"/>
      <c r="G184" s="3">
        <f>1820+500</f>
        <v>2320</v>
      </c>
      <c r="H184" s="42"/>
    </row>
    <row r="185" spans="1:9" ht="29" x14ac:dyDescent="0.35">
      <c r="A185" s="64" t="s">
        <v>101</v>
      </c>
      <c r="B185" s="24" t="s">
        <v>102</v>
      </c>
      <c r="C185" s="9" t="s">
        <v>10</v>
      </c>
      <c r="D185" s="17">
        <v>9180</v>
      </c>
      <c r="E185" s="17">
        <v>1197</v>
      </c>
      <c r="F185" s="17"/>
      <c r="G185" s="17">
        <v>9180</v>
      </c>
      <c r="H185" s="43"/>
    </row>
    <row r="186" spans="1:9" x14ac:dyDescent="0.35">
      <c r="A186" s="8">
        <v>4617</v>
      </c>
      <c r="B186" s="24" t="s">
        <v>103</v>
      </c>
      <c r="C186" s="10" t="s">
        <v>10</v>
      </c>
      <c r="D186" s="3">
        <v>500</v>
      </c>
      <c r="E186" s="3">
        <v>0</v>
      </c>
      <c r="F186" s="3"/>
      <c r="G186" s="3">
        <v>500</v>
      </c>
      <c r="H186" s="42"/>
    </row>
    <row r="187" spans="1:9" x14ac:dyDescent="0.35">
      <c r="A187" s="78">
        <v>4618</v>
      </c>
      <c r="B187" s="68" t="s">
        <v>104</v>
      </c>
      <c r="C187" s="10" t="s">
        <v>35</v>
      </c>
      <c r="D187" s="3">
        <v>3300</v>
      </c>
      <c r="E187" s="3">
        <v>1800</v>
      </c>
      <c r="F187" s="3"/>
      <c r="G187" s="3">
        <v>3300</v>
      </c>
      <c r="H187" s="42"/>
    </row>
    <row r="188" spans="1:9" x14ac:dyDescent="0.35">
      <c r="A188" s="79"/>
      <c r="B188" s="81"/>
      <c r="C188" s="10" t="s">
        <v>7</v>
      </c>
      <c r="D188" s="3">
        <v>3700</v>
      </c>
      <c r="E188" s="3">
        <v>1831.82</v>
      </c>
      <c r="F188" s="3"/>
      <c r="G188" s="3">
        <v>3700</v>
      </c>
      <c r="H188" s="42"/>
    </row>
    <row r="189" spans="1:9" x14ac:dyDescent="0.35">
      <c r="A189" s="79"/>
      <c r="B189" s="81"/>
      <c r="C189" s="55" t="s">
        <v>174</v>
      </c>
      <c r="D189" s="3">
        <f>300+300</f>
        <v>600</v>
      </c>
      <c r="E189" s="3">
        <v>500</v>
      </c>
      <c r="F189" s="3">
        <v>-100</v>
      </c>
      <c r="G189" s="3">
        <f>300+300-100</f>
        <v>500</v>
      </c>
      <c r="H189" s="42" t="s">
        <v>273</v>
      </c>
    </row>
    <row r="190" spans="1:9" x14ac:dyDescent="0.35">
      <c r="A190" s="79"/>
      <c r="B190" s="81"/>
      <c r="C190" s="10" t="s">
        <v>10</v>
      </c>
      <c r="D190" s="3">
        <v>4400</v>
      </c>
      <c r="E190" s="3">
        <v>1300</v>
      </c>
      <c r="F190" s="3">
        <v>100</v>
      </c>
      <c r="G190" s="3">
        <f>4400+100</f>
        <v>4500</v>
      </c>
      <c r="H190" s="42"/>
    </row>
    <row r="191" spans="1:9" x14ac:dyDescent="0.35">
      <c r="A191" s="68">
        <v>4637</v>
      </c>
      <c r="B191" s="24" t="s">
        <v>105</v>
      </c>
      <c r="C191" s="10" t="s">
        <v>10</v>
      </c>
      <c r="D191" s="3">
        <v>1500</v>
      </c>
      <c r="E191" s="3">
        <v>3946</v>
      </c>
      <c r="F191" s="3">
        <f>2446</f>
        <v>2446</v>
      </c>
      <c r="G191" s="3">
        <f>1500+2446</f>
        <v>3946</v>
      </c>
      <c r="H191" s="76" t="s">
        <v>275</v>
      </c>
    </row>
    <row r="192" spans="1:9" x14ac:dyDescent="0.35">
      <c r="A192" s="81"/>
      <c r="B192" s="24" t="s">
        <v>106</v>
      </c>
      <c r="C192" s="10" t="s">
        <v>35</v>
      </c>
      <c r="D192" s="3">
        <v>8000</v>
      </c>
      <c r="E192" s="3">
        <v>8000</v>
      </c>
      <c r="F192" s="3"/>
      <c r="G192" s="3">
        <v>8000</v>
      </c>
      <c r="H192" s="87"/>
    </row>
    <row r="193" spans="1:8" x14ac:dyDescent="0.35">
      <c r="A193" s="69"/>
      <c r="B193" s="24" t="s">
        <v>276</v>
      </c>
      <c r="C193" s="10" t="s">
        <v>7</v>
      </c>
      <c r="D193" s="3">
        <v>0</v>
      </c>
      <c r="E193" s="3">
        <v>0</v>
      </c>
      <c r="F193" s="3">
        <v>5000</v>
      </c>
      <c r="G193" s="3">
        <v>5000</v>
      </c>
      <c r="H193" s="77"/>
    </row>
    <row r="194" spans="1:8" x14ac:dyDescent="0.35">
      <c r="A194" s="12" t="s">
        <v>107</v>
      </c>
      <c r="B194" s="12" t="s">
        <v>108</v>
      </c>
      <c r="C194" s="10" t="s">
        <v>10</v>
      </c>
      <c r="D194" s="3">
        <v>900</v>
      </c>
      <c r="E194" s="3">
        <v>880.18</v>
      </c>
      <c r="F194" s="3"/>
      <c r="G194" s="3">
        <v>900</v>
      </c>
      <c r="H194" s="42" t="s">
        <v>234</v>
      </c>
    </row>
    <row r="195" spans="1:8" x14ac:dyDescent="0.35">
      <c r="A195" s="12" t="s">
        <v>109</v>
      </c>
      <c r="B195" s="12" t="s">
        <v>110</v>
      </c>
      <c r="C195" s="10" t="s">
        <v>10</v>
      </c>
      <c r="D195" s="3">
        <v>3100</v>
      </c>
      <c r="E195" s="3">
        <v>3363.66</v>
      </c>
      <c r="F195" s="3"/>
      <c r="G195" s="3">
        <v>3100</v>
      </c>
      <c r="H195" s="42"/>
    </row>
    <row r="196" spans="1:8" x14ac:dyDescent="0.35">
      <c r="A196" s="11">
        <v>4649</v>
      </c>
      <c r="B196" s="10" t="s">
        <v>111</v>
      </c>
      <c r="C196" s="10" t="s">
        <v>10</v>
      </c>
      <c r="D196" s="3">
        <f>2500+1300</f>
        <v>3800</v>
      </c>
      <c r="E196" s="3">
        <v>1299.72</v>
      </c>
      <c r="F196" s="3"/>
      <c r="G196" s="3">
        <f>2500+1300</f>
        <v>3800</v>
      </c>
      <c r="H196" s="42"/>
    </row>
    <row r="197" spans="1:8" x14ac:dyDescent="0.35">
      <c r="A197" s="12" t="s">
        <v>112</v>
      </c>
      <c r="B197" s="12" t="s">
        <v>113</v>
      </c>
      <c r="C197" s="10" t="s">
        <v>10</v>
      </c>
      <c r="D197" s="3">
        <v>1000</v>
      </c>
      <c r="E197" s="3">
        <v>442.2</v>
      </c>
      <c r="F197" s="3"/>
      <c r="G197" s="3">
        <v>1000</v>
      </c>
      <c r="H197" s="42"/>
    </row>
    <row r="198" spans="1:8" x14ac:dyDescent="0.35">
      <c r="A198" s="12" t="s">
        <v>114</v>
      </c>
      <c r="B198" s="12" t="s">
        <v>115</v>
      </c>
      <c r="C198" s="10" t="s">
        <v>10</v>
      </c>
      <c r="D198" s="3">
        <v>240</v>
      </c>
      <c r="E198" s="3">
        <v>120</v>
      </c>
      <c r="F198" s="3"/>
      <c r="G198" s="3">
        <v>240</v>
      </c>
      <c r="H198" s="42"/>
    </row>
    <row r="199" spans="1:8" x14ac:dyDescent="0.35">
      <c r="A199" s="11">
        <v>4661</v>
      </c>
      <c r="B199" s="10" t="s">
        <v>116</v>
      </c>
      <c r="C199" s="10" t="s">
        <v>10</v>
      </c>
      <c r="D199" s="3">
        <v>3760</v>
      </c>
      <c r="E199" s="3">
        <v>2170.4</v>
      </c>
      <c r="F199" s="3"/>
      <c r="G199" s="3">
        <v>3760</v>
      </c>
      <c r="H199" s="42"/>
    </row>
    <row r="200" spans="1:8" ht="43.5" x14ac:dyDescent="0.35">
      <c r="A200" s="8">
        <v>4661</v>
      </c>
      <c r="B200" s="9" t="s">
        <v>199</v>
      </c>
      <c r="C200" s="19" t="s">
        <v>195</v>
      </c>
      <c r="D200" s="17">
        <v>13000</v>
      </c>
      <c r="E200" s="17">
        <v>10000</v>
      </c>
      <c r="F200" s="17"/>
      <c r="G200" s="17">
        <v>13000</v>
      </c>
      <c r="H200" s="43"/>
    </row>
    <row r="201" spans="1:8" x14ac:dyDescent="0.35">
      <c r="A201" s="12" t="s">
        <v>117</v>
      </c>
      <c r="B201" s="12" t="s">
        <v>118</v>
      </c>
      <c r="C201" s="10" t="s">
        <v>10</v>
      </c>
      <c r="D201" s="3">
        <v>127.45</v>
      </c>
      <c r="E201" s="3">
        <v>63.72</v>
      </c>
      <c r="F201" s="3"/>
      <c r="G201" s="3">
        <v>127.45</v>
      </c>
      <c r="H201" s="42"/>
    </row>
    <row r="202" spans="1:8" ht="28.5" customHeight="1" x14ac:dyDescent="0.35">
      <c r="A202" s="68" t="s">
        <v>119</v>
      </c>
      <c r="B202" s="78" t="s">
        <v>120</v>
      </c>
      <c r="C202" s="9" t="s">
        <v>10</v>
      </c>
      <c r="D202" s="17">
        <f>19265+160-6625</f>
        <v>12800</v>
      </c>
      <c r="E202" s="17">
        <f>5437.03+94.02+98.82-2000</f>
        <v>3629.87</v>
      </c>
      <c r="F202" s="17"/>
      <c r="G202" s="17">
        <f>19265+160-6625</f>
        <v>12800</v>
      </c>
      <c r="H202" s="43"/>
    </row>
    <row r="203" spans="1:8" ht="29" x14ac:dyDescent="0.35">
      <c r="A203" s="81"/>
      <c r="B203" s="79"/>
      <c r="C203" s="18" t="s">
        <v>196</v>
      </c>
      <c r="D203" s="17">
        <v>6625</v>
      </c>
      <c r="E203" s="17">
        <v>3805.44</v>
      </c>
      <c r="F203" s="17"/>
      <c r="G203" s="17">
        <v>6625</v>
      </c>
      <c r="H203" s="43"/>
    </row>
    <row r="204" spans="1:8" x14ac:dyDescent="0.35">
      <c r="A204" s="69"/>
      <c r="B204" s="80"/>
      <c r="C204" s="10" t="s">
        <v>35</v>
      </c>
      <c r="D204" s="17">
        <v>0</v>
      </c>
      <c r="E204" s="17">
        <v>2000</v>
      </c>
      <c r="F204" s="17">
        <v>2000</v>
      </c>
      <c r="G204" s="17">
        <v>2000</v>
      </c>
      <c r="H204" s="76" t="s">
        <v>278</v>
      </c>
    </row>
    <row r="205" spans="1:8" x14ac:dyDescent="0.35">
      <c r="A205" s="15">
        <v>4685</v>
      </c>
      <c r="B205" s="51" t="s">
        <v>269</v>
      </c>
      <c r="C205" s="10" t="s">
        <v>239</v>
      </c>
      <c r="D205" s="17">
        <v>0</v>
      </c>
      <c r="E205" s="17">
        <v>0</v>
      </c>
      <c r="F205" s="17">
        <v>1500</v>
      </c>
      <c r="G205" s="17">
        <v>1500</v>
      </c>
      <c r="H205" s="77"/>
    </row>
    <row r="206" spans="1:8" x14ac:dyDescent="0.35">
      <c r="A206" s="11">
        <v>4690</v>
      </c>
      <c r="B206" s="12" t="s">
        <v>121</v>
      </c>
      <c r="C206" s="10" t="s">
        <v>10</v>
      </c>
      <c r="D206" s="3">
        <v>3010</v>
      </c>
      <c r="E206" s="3">
        <v>3295.5</v>
      </c>
      <c r="F206" s="3"/>
      <c r="G206" s="3">
        <v>3010</v>
      </c>
      <c r="H206" s="42"/>
    </row>
    <row r="207" spans="1:8" x14ac:dyDescent="0.35">
      <c r="A207" s="12" t="s">
        <v>122</v>
      </c>
      <c r="B207" s="12" t="s">
        <v>123</v>
      </c>
      <c r="C207" s="10" t="s">
        <v>10</v>
      </c>
      <c r="D207" s="3">
        <v>100</v>
      </c>
      <c r="E207" s="3">
        <v>0</v>
      </c>
      <c r="F207" s="3"/>
      <c r="G207" s="3">
        <v>100</v>
      </c>
      <c r="H207" s="42"/>
    </row>
    <row r="208" spans="1:8" x14ac:dyDescent="0.35">
      <c r="A208" s="11">
        <v>4695</v>
      </c>
      <c r="B208" s="12" t="s">
        <v>124</v>
      </c>
      <c r="C208" s="10" t="s">
        <v>10</v>
      </c>
      <c r="D208" s="3">
        <v>100</v>
      </c>
      <c r="E208" s="3">
        <v>13.96</v>
      </c>
      <c r="F208" s="3"/>
      <c r="G208" s="3">
        <v>100</v>
      </c>
      <c r="H208" s="42"/>
    </row>
    <row r="209" spans="1:8" x14ac:dyDescent="0.35">
      <c r="A209" s="11">
        <v>4699</v>
      </c>
      <c r="B209" s="10" t="s">
        <v>125</v>
      </c>
      <c r="C209" s="10" t="s">
        <v>10</v>
      </c>
      <c r="D209" s="3">
        <v>100</v>
      </c>
      <c r="E209" s="3">
        <v>4.5</v>
      </c>
      <c r="F209" s="3"/>
      <c r="G209" s="3">
        <v>100</v>
      </c>
      <c r="H209" s="42"/>
    </row>
    <row r="210" spans="1:8" x14ac:dyDescent="0.35">
      <c r="A210" s="4" t="s">
        <v>126</v>
      </c>
      <c r="B210" s="4" t="s">
        <v>127</v>
      </c>
      <c r="C210" s="4"/>
      <c r="D210" s="5">
        <f>SUM(D211:D213)</f>
        <v>50</v>
      </c>
      <c r="E210" s="5">
        <f>SUM(E211:E213)</f>
        <v>0</v>
      </c>
      <c r="F210" s="5">
        <f>SUM(F211:F213)</f>
        <v>0</v>
      </c>
      <c r="G210" s="5">
        <f>SUM(G211:G213)</f>
        <v>50</v>
      </c>
      <c r="H210" s="47"/>
    </row>
    <row r="211" spans="1:8" x14ac:dyDescent="0.35">
      <c r="A211" s="12" t="s">
        <v>128</v>
      </c>
      <c r="B211" s="12" t="s">
        <v>129</v>
      </c>
      <c r="C211" s="10" t="s">
        <v>10</v>
      </c>
      <c r="D211" s="25">
        <v>20</v>
      </c>
      <c r="E211" s="25">
        <v>0</v>
      </c>
      <c r="F211" s="25"/>
      <c r="G211" s="25">
        <v>20</v>
      </c>
      <c r="H211" s="49"/>
    </row>
    <row r="212" spans="1:8" x14ac:dyDescent="0.35">
      <c r="A212" s="12" t="s">
        <v>130</v>
      </c>
      <c r="B212" s="12" t="s">
        <v>131</v>
      </c>
      <c r="C212" s="10" t="s">
        <v>10</v>
      </c>
      <c r="D212" s="25">
        <v>20</v>
      </c>
      <c r="E212" s="25">
        <v>0</v>
      </c>
      <c r="F212" s="25"/>
      <c r="G212" s="25">
        <v>20</v>
      </c>
      <c r="H212" s="49"/>
    </row>
    <row r="213" spans="1:8" x14ac:dyDescent="0.35">
      <c r="A213" s="12" t="s">
        <v>132</v>
      </c>
      <c r="B213" s="12" t="s">
        <v>133</v>
      </c>
      <c r="C213" s="10" t="s">
        <v>10</v>
      </c>
      <c r="D213" s="25">
        <v>10</v>
      </c>
      <c r="E213" s="25">
        <v>0</v>
      </c>
      <c r="F213" s="25"/>
      <c r="G213" s="25">
        <v>10</v>
      </c>
      <c r="H213" s="49"/>
    </row>
    <row r="214" spans="1:8" x14ac:dyDescent="0.35">
      <c r="A214" s="4" t="s">
        <v>134</v>
      </c>
      <c r="B214" s="4" t="s">
        <v>17</v>
      </c>
      <c r="C214" s="4"/>
      <c r="D214" s="5">
        <f>D215</f>
        <v>50</v>
      </c>
      <c r="E214" s="5">
        <f>E215</f>
        <v>1603.98</v>
      </c>
      <c r="F214" s="5">
        <f>F215</f>
        <v>1555</v>
      </c>
      <c r="G214" s="5">
        <f>G215</f>
        <v>1605</v>
      </c>
      <c r="H214" s="47"/>
    </row>
    <row r="215" spans="1:8" x14ac:dyDescent="0.35">
      <c r="A215" s="11">
        <v>4899</v>
      </c>
      <c r="B215" s="12" t="s">
        <v>135</v>
      </c>
      <c r="C215" s="10" t="s">
        <v>10</v>
      </c>
      <c r="D215" s="25">
        <v>50</v>
      </c>
      <c r="E215" s="3">
        <v>1603.98</v>
      </c>
      <c r="F215" s="3">
        <v>1555</v>
      </c>
      <c r="G215" s="3">
        <f>50+1555</f>
        <v>1605</v>
      </c>
      <c r="H215" s="42" t="s">
        <v>279</v>
      </c>
    </row>
    <row r="216" spans="1:8" x14ac:dyDescent="0.35">
      <c r="A216" s="4" t="s">
        <v>172</v>
      </c>
      <c r="B216" s="4" t="s">
        <v>173</v>
      </c>
      <c r="C216" s="4"/>
      <c r="D216" s="27">
        <f>D3-D55</f>
        <v>4423.6599999999162</v>
      </c>
      <c r="E216" s="27">
        <f>E3-E55</f>
        <v>-27174.890000000072</v>
      </c>
      <c r="F216" s="27"/>
      <c r="G216" s="27">
        <f>G3-G55</f>
        <v>5756.6899999999441</v>
      </c>
      <c r="H216" s="45"/>
    </row>
    <row r="217" spans="1:8" x14ac:dyDescent="0.35">
      <c r="A217" s="38"/>
      <c r="B217" s="38"/>
      <c r="C217" s="38"/>
    </row>
    <row r="219" spans="1:8" x14ac:dyDescent="0.35">
      <c r="H219" s="6"/>
    </row>
  </sheetData>
  <autoFilter ref="A54:G216" xr:uid="{6E62500B-7DA8-4B77-B16B-1610DECA15BB}"/>
  <mergeCells count="78">
    <mergeCell ref="A191:A193"/>
    <mergeCell ref="H191:H193"/>
    <mergeCell ref="H101:H102"/>
    <mergeCell ref="O4:R4"/>
    <mergeCell ref="H108:H109"/>
    <mergeCell ref="H40:H41"/>
    <mergeCell ref="B40:B41"/>
    <mergeCell ref="A40:A41"/>
    <mergeCell ref="J4:M4"/>
    <mergeCell ref="A70:A71"/>
    <mergeCell ref="B70:B71"/>
    <mergeCell ref="A58:A59"/>
    <mergeCell ref="B58:B59"/>
    <mergeCell ref="A64:A65"/>
    <mergeCell ref="B64:B65"/>
    <mergeCell ref="A66:A67"/>
    <mergeCell ref="E76:E77"/>
    <mergeCell ref="F76:F77"/>
    <mergeCell ref="G76:G77"/>
    <mergeCell ref="D74:D75"/>
    <mergeCell ref="H204:H205"/>
    <mergeCell ref="H74:H75"/>
    <mergeCell ref="H76:H77"/>
    <mergeCell ref="H151:H152"/>
    <mergeCell ref="H139:H148"/>
    <mergeCell ref="H155:H166"/>
    <mergeCell ref="H89:H90"/>
    <mergeCell ref="H84:H85"/>
    <mergeCell ref="H94:H95"/>
    <mergeCell ref="H124:H125"/>
    <mergeCell ref="A139:A148"/>
    <mergeCell ref="B144:B145"/>
    <mergeCell ref="D76:D77"/>
    <mergeCell ref="B80:B81"/>
    <mergeCell ref="A84:A85"/>
    <mergeCell ref="B84:B85"/>
    <mergeCell ref="A105:A106"/>
    <mergeCell ref="A108:A111"/>
    <mergeCell ref="B108:B111"/>
    <mergeCell ref="A112:A114"/>
    <mergeCell ref="B112:B114"/>
    <mergeCell ref="B124:B125"/>
    <mergeCell ref="A124:A125"/>
    <mergeCell ref="A94:A95"/>
    <mergeCell ref="B82:B83"/>
    <mergeCell ref="C76:C77"/>
    <mergeCell ref="A119:A120"/>
    <mergeCell ref="H119:H120"/>
    <mergeCell ref="B202:B204"/>
    <mergeCell ref="A202:A204"/>
    <mergeCell ref="A187:A190"/>
    <mergeCell ref="B187:B190"/>
    <mergeCell ref="A151:A152"/>
    <mergeCell ref="A175:A179"/>
    <mergeCell ref="B175:B179"/>
    <mergeCell ref="A180:A183"/>
    <mergeCell ref="B180:B183"/>
    <mergeCell ref="B155:B166"/>
    <mergeCell ref="B151:B152"/>
    <mergeCell ref="A155:A166"/>
    <mergeCell ref="A121:A122"/>
    <mergeCell ref="B121:B122"/>
    <mergeCell ref="A26:A27"/>
    <mergeCell ref="B26:B27"/>
    <mergeCell ref="H26:H27"/>
    <mergeCell ref="B94:B95"/>
    <mergeCell ref="A89:A90"/>
    <mergeCell ref="C74:C75"/>
    <mergeCell ref="A76:A77"/>
    <mergeCell ref="B76:B77"/>
    <mergeCell ref="A82:A83"/>
    <mergeCell ref="A74:A75"/>
    <mergeCell ref="B74:B75"/>
    <mergeCell ref="A80:A81"/>
    <mergeCell ref="B66:B67"/>
    <mergeCell ref="E74:E75"/>
    <mergeCell ref="F74:F75"/>
    <mergeCell ref="G74:G75"/>
  </mergeCells>
  <pageMargins left="0.7" right="0.7" top="0.75" bottom="0.75" header="0.3" footer="0.3"/>
  <pageSetup paperSize="8" scale="9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I. Izmjena</vt:lpstr>
      <vt:lpstr>'I. Izmjena'!Podrucje_ispisa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Melita  Golub</dc:creator>
  <cp:lastModifiedBy>Helena Matuša</cp:lastModifiedBy>
  <cp:lastPrinted>2026-07-20T08:05:35Z</cp:lastPrinted>
  <dcterms:created xsi:type="dcterms:W3CDTF">2025-07-11T11:46:52Z</dcterms:created>
  <dcterms:modified xsi:type="dcterms:W3CDTF">2026-07-20T08:05:38Z</dcterms:modified>
</cp:coreProperties>
</file>