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_AKTI_TVRTKA\3_SKUPŠTINA\2025\59. sjednica_studeni 25\3. točka - II izmjena financijskog plana\"/>
    </mc:Choice>
  </mc:AlternateContent>
  <xr:revisionPtr revIDLastSave="0" documentId="13_ncr:1_{400104D6-BCE3-46EE-A58B-6F645ACF7D36}" xr6:coauthVersionLast="47" xr6:coauthVersionMax="47" xr10:uidLastSave="{00000000-0000-0000-0000-000000000000}"/>
  <bookViews>
    <workbookView xWindow="-38510" yWindow="-1160" windowWidth="38620" windowHeight="21100" xr2:uid="{DE411279-253E-430F-9553-5428AC7673A0}"/>
  </bookViews>
  <sheets>
    <sheet name="II. Izmjena" sheetId="1" r:id="rId1"/>
  </sheets>
  <definedNames>
    <definedName name="_xlnm._FilterDatabase" localSheetId="0" hidden="1">'II. Izmjena'!$A$2:$C$127</definedName>
    <definedName name="_xlnm.Print_Area" localSheetId="0">'II. Izmjena'!$A$1:$N$171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5" i="1" l="1"/>
  <c r="L76" i="1"/>
  <c r="L99" i="1"/>
  <c r="L98" i="1"/>
  <c r="L143" i="1"/>
  <c r="L32" i="1"/>
  <c r="L29" i="1"/>
  <c r="K166" i="1"/>
  <c r="K154" i="1"/>
  <c r="K152" i="1"/>
  <c r="K132" i="1"/>
  <c r="K131" i="1" s="1"/>
  <c r="K125" i="1"/>
  <c r="K121" i="1"/>
  <c r="K92" i="1"/>
  <c r="K90" i="1"/>
  <c r="K88" i="1"/>
  <c r="K84" i="1"/>
  <c r="K77" i="1"/>
  <c r="K16" i="1"/>
  <c r="K3" i="1"/>
  <c r="L52" i="1"/>
  <c r="L81" i="1"/>
  <c r="L97" i="1"/>
  <c r="L103" i="1"/>
  <c r="L14" i="1"/>
  <c r="L135" i="1"/>
  <c r="L161" i="1"/>
  <c r="L79" i="1"/>
  <c r="F81" i="1"/>
  <c r="F79" i="1"/>
  <c r="G81" i="1"/>
  <c r="J159" i="1"/>
  <c r="L24" i="1"/>
  <c r="F24" i="1"/>
  <c r="J25" i="1"/>
  <c r="J12" i="1"/>
  <c r="H93" i="1"/>
  <c r="I22" i="1"/>
  <c r="I29" i="1"/>
  <c r="F32" i="1"/>
  <c r="F4" i="1"/>
  <c r="F80" i="1"/>
  <c r="I80" i="1"/>
  <c r="F97" i="1"/>
  <c r="F95" i="1"/>
  <c r="I81" i="1"/>
  <c r="L136" i="1"/>
  <c r="J70" i="1"/>
  <c r="L54" i="1"/>
  <c r="H81" i="1"/>
  <c r="I83" i="1"/>
  <c r="H83" i="1"/>
  <c r="I69" i="1"/>
  <c r="J69" i="1"/>
  <c r="K130" i="1" l="1"/>
  <c r="K2" i="1"/>
  <c r="H80" i="1"/>
  <c r="G80" i="1"/>
  <c r="I78" i="1"/>
  <c r="H78" i="1"/>
  <c r="G78" i="1"/>
  <c r="J78" i="1" s="1"/>
  <c r="I164" i="1"/>
  <c r="H164" i="1"/>
  <c r="H22" i="1"/>
  <c r="J82" i="1"/>
  <c r="L146" i="1"/>
  <c r="L169" i="1" l="1"/>
  <c r="J89" i="1"/>
  <c r="L148" i="1"/>
  <c r="L144" i="1"/>
  <c r="L140" i="1"/>
  <c r="L139" i="1"/>
  <c r="L112" i="1"/>
  <c r="L115" i="1"/>
  <c r="L69" i="1"/>
  <c r="J53" i="1"/>
  <c r="L53" i="1" s="1"/>
  <c r="L48" i="1"/>
  <c r="L30" i="1"/>
  <c r="L28" i="1"/>
  <c r="L12" i="1"/>
  <c r="G114" i="1"/>
  <c r="I114" i="1"/>
  <c r="I35" i="1"/>
  <c r="H35" i="1"/>
  <c r="G35" i="1"/>
  <c r="I36" i="1"/>
  <c r="H36" i="1"/>
  <c r="G36" i="1"/>
  <c r="H32" i="1" l="1"/>
  <c r="F68" i="1"/>
  <c r="F141" i="1" l="1"/>
  <c r="J141" i="1" s="1"/>
  <c r="I136" i="1"/>
  <c r="H136" i="1"/>
  <c r="J168" i="1"/>
  <c r="J169" i="1"/>
  <c r="J170" i="1"/>
  <c r="J167" i="1"/>
  <c r="J157" i="1"/>
  <c r="J158" i="1"/>
  <c r="J160" i="1"/>
  <c r="J161" i="1"/>
  <c r="J162" i="1"/>
  <c r="J163" i="1"/>
  <c r="J164" i="1"/>
  <c r="J165" i="1"/>
  <c r="J155" i="1"/>
  <c r="J153" i="1"/>
  <c r="J134" i="1"/>
  <c r="J135" i="1"/>
  <c r="J137" i="1"/>
  <c r="J138" i="1"/>
  <c r="J139" i="1"/>
  <c r="J140" i="1"/>
  <c r="J142" i="1"/>
  <c r="J143" i="1"/>
  <c r="J144" i="1"/>
  <c r="J146" i="1"/>
  <c r="J147" i="1"/>
  <c r="J148" i="1"/>
  <c r="J149" i="1"/>
  <c r="J150" i="1"/>
  <c r="J151" i="1"/>
  <c r="J133" i="1"/>
  <c r="J136" i="1" l="1"/>
  <c r="H114" i="1"/>
  <c r="J116" i="1"/>
  <c r="J117" i="1"/>
  <c r="J118" i="1"/>
  <c r="J119" i="1"/>
  <c r="J120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5" i="1"/>
  <c r="G93" i="1"/>
  <c r="J79" i="1"/>
  <c r="J80" i="1"/>
  <c r="J81" i="1"/>
  <c r="J83" i="1"/>
  <c r="I62" i="1"/>
  <c r="H62" i="1"/>
  <c r="G61" i="1"/>
  <c r="I60" i="1"/>
  <c r="H60" i="1"/>
  <c r="F48" i="1"/>
  <c r="F46" i="1"/>
  <c r="F42" i="1"/>
  <c r="H38" i="1"/>
  <c r="J114" i="1" l="1"/>
  <c r="J93" i="1"/>
  <c r="I32" i="1" l="1"/>
  <c r="G32" i="1"/>
  <c r="J29" i="1"/>
  <c r="J4" i="1"/>
  <c r="J72" i="1"/>
  <c r="J73" i="1"/>
  <c r="J74" i="1"/>
  <c r="J75" i="1"/>
  <c r="J76" i="1"/>
  <c r="J57" i="1"/>
  <c r="J58" i="1"/>
  <c r="J59" i="1"/>
  <c r="J60" i="1"/>
  <c r="J61" i="1"/>
  <c r="J62" i="1"/>
  <c r="J63" i="1"/>
  <c r="J64" i="1"/>
  <c r="J65" i="1"/>
  <c r="J66" i="1"/>
  <c r="J67" i="1"/>
  <c r="J68" i="1"/>
  <c r="J71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18" i="1"/>
  <c r="J19" i="1"/>
  <c r="J20" i="1"/>
  <c r="J21" i="1"/>
  <c r="J22" i="1"/>
  <c r="J23" i="1"/>
  <c r="J24" i="1"/>
  <c r="J26" i="1"/>
  <c r="J28" i="1"/>
  <c r="J30" i="1"/>
  <c r="J33" i="1"/>
  <c r="J34" i="1"/>
  <c r="J35" i="1"/>
  <c r="J37" i="1"/>
  <c r="J17" i="1"/>
  <c r="F13" i="1"/>
  <c r="J13" i="1" s="1"/>
  <c r="J5" i="1"/>
  <c r="J6" i="1"/>
  <c r="J7" i="1"/>
  <c r="J8" i="1"/>
  <c r="J9" i="1"/>
  <c r="J10" i="1"/>
  <c r="J14" i="1"/>
  <c r="J15" i="1"/>
  <c r="J166" i="1"/>
  <c r="J152" i="1"/>
  <c r="J125" i="1"/>
  <c r="J121" i="1"/>
  <c r="J92" i="1"/>
  <c r="J90" i="1"/>
  <c r="J88" i="1"/>
  <c r="J84" i="1"/>
  <c r="J77" i="1"/>
  <c r="F156" i="1"/>
  <c r="J156" i="1" s="1"/>
  <c r="J154" i="1" s="1"/>
  <c r="F145" i="1"/>
  <c r="D120" i="1"/>
  <c r="L120" i="1"/>
  <c r="F36" i="1"/>
  <c r="J36" i="1" s="1"/>
  <c r="F31" i="1"/>
  <c r="J31" i="1" s="1"/>
  <c r="F27" i="1"/>
  <c r="J27" i="1" s="1"/>
  <c r="L36" i="1"/>
  <c r="F132" i="1" l="1"/>
  <c r="J145" i="1"/>
  <c r="J132" i="1" s="1"/>
  <c r="J131" i="1" s="1"/>
  <c r="J130" i="1" s="1"/>
  <c r="J32" i="1"/>
  <c r="J16" i="1" s="1"/>
  <c r="J3" i="1"/>
  <c r="L90" i="1"/>
  <c r="F90" i="1"/>
  <c r="D90" i="1"/>
  <c r="L46" i="1"/>
  <c r="L71" i="1"/>
  <c r="J2" i="1" l="1"/>
  <c r="J171" i="1" s="1"/>
  <c r="L77" i="1"/>
  <c r="L87" i="1"/>
  <c r="L86" i="1"/>
  <c r="L85" i="1"/>
  <c r="L43" i="1"/>
  <c r="L35" i="1"/>
  <c r="L134" i="1"/>
  <c r="L27" i="1"/>
  <c r="L168" i="1"/>
  <c r="L166" i="1"/>
  <c r="L154" i="1"/>
  <c r="L152" i="1"/>
  <c r="L125" i="1"/>
  <c r="L121" i="1"/>
  <c r="L114" i="1"/>
  <c r="L105" i="1"/>
  <c r="L88" i="1"/>
  <c r="L31" i="1"/>
  <c r="L4" i="1"/>
  <c r="F166" i="1"/>
  <c r="F154" i="1"/>
  <c r="F152" i="1"/>
  <c r="F125" i="1"/>
  <c r="F121" i="1"/>
  <c r="F92" i="1"/>
  <c r="F88" i="1"/>
  <c r="F84" i="1"/>
  <c r="F77" i="1"/>
  <c r="F16" i="1"/>
  <c r="F3" i="1"/>
  <c r="D168" i="1"/>
  <c r="D166" i="1" s="1"/>
  <c r="D154" i="1"/>
  <c r="D152" i="1"/>
  <c r="D148" i="1"/>
  <c r="D144" i="1"/>
  <c r="D143" i="1"/>
  <c r="D125" i="1"/>
  <c r="D121" i="1"/>
  <c r="D114" i="1"/>
  <c r="D105" i="1"/>
  <c r="D88" i="1"/>
  <c r="D84" i="1"/>
  <c r="D77" i="1"/>
  <c r="D76" i="1"/>
  <c r="D35" i="1"/>
  <c r="D32" i="1"/>
  <c r="D31" i="1"/>
  <c r="D14" i="1"/>
  <c r="D12" i="1"/>
  <c r="D4" i="1"/>
  <c r="L3" i="1" l="1"/>
  <c r="L84" i="1"/>
  <c r="F131" i="1"/>
  <c r="F130" i="1" s="1"/>
  <c r="L92" i="1"/>
  <c r="L132" i="1"/>
  <c r="L131" i="1" s="1"/>
  <c r="L130" i="1" s="1"/>
  <c r="L16" i="1"/>
  <c r="D3" i="1"/>
  <c r="F2" i="1"/>
  <c r="D92" i="1"/>
  <c r="D132" i="1"/>
  <c r="D131" i="1" s="1"/>
  <c r="D130" i="1" s="1"/>
  <c r="D16" i="1"/>
  <c r="F171" i="1" l="1"/>
  <c r="L2" i="1"/>
  <c r="L171" i="1" s="1"/>
  <c r="D2" i="1"/>
  <c r="D171" i="1" s="1"/>
</calcChain>
</file>

<file path=xl/sharedStrings.xml><?xml version="1.0" encoding="utf-8"?>
<sst xmlns="http://schemas.openxmlformats.org/spreadsheetml/2006/main" count="403" uniqueCount="238">
  <si>
    <t>Konto</t>
  </si>
  <si>
    <t>Opis troškova</t>
  </si>
  <si>
    <t>Izvor financiranja</t>
  </si>
  <si>
    <t>Plan 2025.</t>
  </si>
  <si>
    <t>TROŠKOVI</t>
  </si>
  <si>
    <t>40</t>
  </si>
  <si>
    <t>MATERIJALNI TROŠKOVI</t>
  </si>
  <si>
    <t xml:space="preserve">Potrošni materijal </t>
  </si>
  <si>
    <t>KZŽ-upravljanje</t>
  </si>
  <si>
    <t>OSTALI VANJSKI TROŠKOVI (troškovi usluga)</t>
  </si>
  <si>
    <t>Uredski materijal</t>
  </si>
  <si>
    <t>Vlastiti prihod/tržište</t>
  </si>
  <si>
    <t>TROŠKOVI OSOBLJA - PLAĆE</t>
  </si>
  <si>
    <t>Voda (izvorska) za piće</t>
  </si>
  <si>
    <t>AMORTIZACIJA</t>
  </si>
  <si>
    <t>Troškovi ukrasnog bilja</t>
  </si>
  <si>
    <t>OSTALI TROŠKOVI POSLOVANJA</t>
  </si>
  <si>
    <t>Ostali materijalni troškovi-natpisne ploče, ključevi,</t>
  </si>
  <si>
    <t>OSTALI POSLOVNI RASHODI</t>
  </si>
  <si>
    <t>4040</t>
  </si>
  <si>
    <t xml:space="preserve">Troškovi sitnog inventara </t>
  </si>
  <si>
    <t>4060</t>
  </si>
  <si>
    <t>Električna energija</t>
  </si>
  <si>
    <t>4061</t>
  </si>
  <si>
    <t>Plin, para, briketi i drva</t>
  </si>
  <si>
    <t>4075/4076</t>
  </si>
  <si>
    <t>Troškovi goriva službenog automobila</t>
  </si>
  <si>
    <t>41</t>
  </si>
  <si>
    <t>4100</t>
  </si>
  <si>
    <t>Troškovi telefona, interneta i sl. (fiksna i mobilna telefonija)</t>
  </si>
  <si>
    <t>4101</t>
  </si>
  <si>
    <t>Poštanski troškovi</t>
  </si>
  <si>
    <t>4114</t>
  </si>
  <si>
    <t xml:space="preserve">Grafičke usluge </t>
  </si>
  <si>
    <t>Vanjski stručnjaci- predavač Health IT edukacije-3 generacija</t>
  </si>
  <si>
    <t>HEALTH IT (HZZ)</t>
  </si>
  <si>
    <t>Vanjski stručnjaci- predavač Health IT edukacije-4 generacija</t>
  </si>
  <si>
    <t>Vanjski stručnjaci - projekti Girls Code Camp, Griz Biz</t>
  </si>
  <si>
    <t>Ostale vanjske usluge-Invest in Zagorje (voditelji)</t>
  </si>
  <si>
    <t>KZŽ - aktivnosti rada</t>
  </si>
  <si>
    <t>Ostale vanjske usluge-Invest in Zagorje (snimatelj, dj)</t>
  </si>
  <si>
    <t>Interregional switch</t>
  </si>
  <si>
    <t>Ostale vanjske usluge-SPRINT (mentorstvi i masterclas)</t>
  </si>
  <si>
    <t>Ostale vanjske usluge-Hamag Bicro edukacije-recertifikacija</t>
  </si>
  <si>
    <t xml:space="preserve">Hamag Bicro </t>
  </si>
  <si>
    <t>Usluge tekućeg održavanja-objekt (popravci razni, bojanje zidova...)</t>
  </si>
  <si>
    <t>Usluge tekućeg održavanja-oprema*</t>
  </si>
  <si>
    <t>Usluge čišćenja (vanjski servis)</t>
  </si>
  <si>
    <t>Usluge čišćenja snijega</t>
  </si>
  <si>
    <t xml:space="preserve">Usluge održavanja softvera i web stranica (Internet stranica Poduzetničkog centra, inkubatora, Invest in Zagorje, BAIF platforma, e - pisarnica, održavanje aplikacije virtualnog inkubatora i aplikacije narudžbenica) </t>
  </si>
  <si>
    <t xml:space="preserve">Usluga održavanja web platforme Invest in Zagorje i održavanje GIS </t>
  </si>
  <si>
    <t>4125/4126</t>
  </si>
  <si>
    <t>Usluge održavanja službenog automobila</t>
  </si>
  <si>
    <t>4127</t>
  </si>
  <si>
    <t>Usluge zaštite na radu (ispitivanje objekta)</t>
  </si>
  <si>
    <t>Usluge zaštite na radu ( godišnji poslovi zaštite na radu)</t>
  </si>
  <si>
    <t>4130/4131</t>
  </si>
  <si>
    <t>Registracija službenog automobila</t>
  </si>
  <si>
    <t>4140</t>
  </si>
  <si>
    <t>Zakupnine - najamnine nekretnina (najam poslovnog prostora Krapinsko-zagorske županije)</t>
  </si>
  <si>
    <t>Zakupnine - oprema - Invest in Zagorje (pozornica, tehnička oprema)</t>
  </si>
  <si>
    <t>4143/4144</t>
  </si>
  <si>
    <t xml:space="preserve">Operativni najam službenog vozila </t>
  </si>
  <si>
    <t>Usluge web sjedišta (hosting e-pisarnice, Internet stranica inkubatora i PCKZŽ)</t>
  </si>
  <si>
    <t>41492</t>
  </si>
  <si>
    <t>Usluge web sjedišta hosting Invest in Zagorje</t>
  </si>
  <si>
    <t>4150</t>
  </si>
  <si>
    <t>Troškovi promidžbe  (stručnjak za komunikacije na društvenim mrežama i online promociju, google ads, Meta)</t>
  </si>
  <si>
    <t>Troškovi oglašavanja putem medija-Invest in Zagorje i dr.</t>
  </si>
  <si>
    <t>Prijenos partnerima na projektu SPRINT</t>
  </si>
  <si>
    <t>4164</t>
  </si>
  <si>
    <t>Knjigovodstvene usluge</t>
  </si>
  <si>
    <t>Odvjetničke usluge</t>
  </si>
  <si>
    <t>Bilježničke usluge</t>
  </si>
  <si>
    <t>Usluge stručnjaka - goedeta i sl.</t>
  </si>
  <si>
    <t>4170</t>
  </si>
  <si>
    <t>Komunalna naknada</t>
  </si>
  <si>
    <t>4171</t>
  </si>
  <si>
    <t xml:space="preserve">Odvoz smeća </t>
  </si>
  <si>
    <t>4172</t>
  </si>
  <si>
    <t>Voda i odvodnja</t>
  </si>
  <si>
    <t>4173</t>
  </si>
  <si>
    <t>Usluge održavanja okoliša (košnja trave, održavanje zelenih površina i biljaka)</t>
  </si>
  <si>
    <t>Garažiranje i parkiranje vozila</t>
  </si>
  <si>
    <t>4177</t>
  </si>
  <si>
    <t>Dimnjačarske i ekološke usluge</t>
  </si>
  <si>
    <t>4178</t>
  </si>
  <si>
    <t>Usluge zbrinjavanja otpada, deratizacija</t>
  </si>
  <si>
    <t>4180/4181</t>
  </si>
  <si>
    <t>Usluge reprezentacije - osvježenja za edukacije, konferencije, poslovni sastanci</t>
  </si>
  <si>
    <t>Usluge reprezentacije - osvježenja za radionice Kreiraj svoju budućnost</t>
  </si>
  <si>
    <t>KZŽ - Kreiraj svoju budućnost</t>
  </si>
  <si>
    <t>Usluge reprezentacije - osvježenja za edukacije Health IT Akademija</t>
  </si>
  <si>
    <t>Usluge reprezentacije- osvježenja za događanja u okviru projekta SPRINT</t>
  </si>
  <si>
    <t>Usluge reprezentacije - Invest in Zagorje</t>
  </si>
  <si>
    <t>Usluge reprezentacije - Hamag Bicro radionice</t>
  </si>
  <si>
    <t>4197</t>
  </si>
  <si>
    <t>Trošak autoputa, tunela i mostarina</t>
  </si>
  <si>
    <t>Ostali vanjski troškovi - usluge psihološko testiranje prilikom postupka zapošljavanja, kotizacije, ostalo</t>
  </si>
  <si>
    <t>ZEZ faza II_ITU</t>
  </si>
  <si>
    <t>43</t>
  </si>
  <si>
    <t>Amortizacija materijalne i namaterijalne imovine</t>
  </si>
  <si>
    <t>Amortizacija nematerijalne imovine _GIS dio</t>
  </si>
  <si>
    <t>Amortizacija nematerijalne imovine _VR</t>
  </si>
  <si>
    <t>44</t>
  </si>
  <si>
    <t>VRIJEDNOSNO USKLAĐENJE DUGOTRAJNE I KRATKOTRAJNE IMOVINE</t>
  </si>
  <si>
    <t>Vrijednosna usklađivanja zastarjelih potraživanja</t>
  </si>
  <si>
    <t>46</t>
  </si>
  <si>
    <t>4600, 4602, 4605, 4606</t>
  </si>
  <si>
    <t>Troškovi službenih putovanja (dnevice, uporaba vl.automobila, troškovi noćenja, ostali troškovi)</t>
  </si>
  <si>
    <t>4610</t>
  </si>
  <si>
    <t>Troškovi prijevoza na posao i s posla</t>
  </si>
  <si>
    <t>4615</t>
  </si>
  <si>
    <t xml:space="preserve">Darovi djeci, potpore za novorođenče i sl. potpore </t>
  </si>
  <si>
    <t>4616</t>
  </si>
  <si>
    <t>Prigodne nagrade (božićnice, uskrsnice, dar u naravi,  regres za god. odmor, jubilarne nagrade i sl.)</t>
  </si>
  <si>
    <t>Popotre u slučaju bolesti, smrti…</t>
  </si>
  <si>
    <t>Trošak prehrane</t>
  </si>
  <si>
    <t>Nagrade za radne rezultate</t>
  </si>
  <si>
    <t>Promotivni materijali</t>
  </si>
  <si>
    <t>Promotivni materijali Invest in Zagorje</t>
  </si>
  <si>
    <t>4642</t>
  </si>
  <si>
    <t>Premije osiguranja prometnih sredstava (uključivo i kasko)</t>
  </si>
  <si>
    <t>4644</t>
  </si>
  <si>
    <t>Premije dopunskog i dodatnog zdravstvenog osiguranja</t>
  </si>
  <si>
    <t>Premije osiguranja rizik posla</t>
  </si>
  <si>
    <t>4650</t>
  </si>
  <si>
    <t>Troškovi platnog prometa</t>
  </si>
  <si>
    <t>4660</t>
  </si>
  <si>
    <t>Članarine komori (HGK ili HOK) i dopr. za javne ovlasti</t>
  </si>
  <si>
    <t>Članarina HUP, Udruga HRIF, CroAi, Ebn, Crostartup</t>
  </si>
  <si>
    <t>4684</t>
  </si>
  <si>
    <t>Trošak HRT pretplate</t>
  </si>
  <si>
    <t>4685</t>
  </si>
  <si>
    <t>Troškovi licenciranih prava (aplikacije za uredsko poslovanje, servisi za virtualne sastanke i komunikacijske platforme, aplikacija za pripremu i slanje newslettera)</t>
  </si>
  <si>
    <t>Troškovi licence portala Invest in Zagorje (B2Match)</t>
  </si>
  <si>
    <t>Opće obrazovanje-edukacije djelatnika</t>
  </si>
  <si>
    <t>4691</t>
  </si>
  <si>
    <t>Troškovi za priručnike, časopise i stručnu literaturu</t>
  </si>
  <si>
    <t>4693</t>
  </si>
  <si>
    <t>Sudski troškovi i pristojbe</t>
  </si>
  <si>
    <t>Troškovi obveznih liječničkih pregleda radnika</t>
  </si>
  <si>
    <t xml:space="preserve">Ostali nematerijalni troškovi </t>
  </si>
  <si>
    <t>47</t>
  </si>
  <si>
    <t>FINANCIJSKI TROŠKOVI</t>
  </si>
  <si>
    <t>4741</t>
  </si>
  <si>
    <t>Zatezne kamate na poreze, doprinose i dr. davanja</t>
  </si>
  <si>
    <t>4750</t>
  </si>
  <si>
    <t>Negativne tečajne razlike iz obveza za nabave u inozemstvu</t>
  </si>
  <si>
    <t>4752</t>
  </si>
  <si>
    <t>Negativne tečajne razlike iz potraživanja u inozemstvu</t>
  </si>
  <si>
    <t>48</t>
  </si>
  <si>
    <t>4899</t>
  </si>
  <si>
    <t>Ostali nespomenuti poslovni troškovi</t>
  </si>
  <si>
    <t>Opis prihoda</t>
  </si>
  <si>
    <t>PRIHODI</t>
  </si>
  <si>
    <t>75</t>
  </si>
  <si>
    <t>PRIHODI OD PRODAJE PROIZVODA I USLUGA</t>
  </si>
  <si>
    <t xml:space="preserve">Prihodi od prodaje proizvoda i usluga   </t>
  </si>
  <si>
    <t>7510</t>
  </si>
  <si>
    <t>Prihodi od pružanja usluga-upravljanje PTI</t>
  </si>
  <si>
    <t>Prihodi od pružanja usluga-aktivnosti rada PCKZŽ</t>
  </si>
  <si>
    <t>Prihodi od pružanja usluga- zakup centar za robotiku</t>
  </si>
  <si>
    <t>Prihodi od pružanja usluga- zakup inkubacijskih prostora</t>
  </si>
  <si>
    <t>Prihodi od pružanja usluga- zakup Hamag</t>
  </si>
  <si>
    <t>Prihodi od pružanja usluga-zakup dvorane</t>
  </si>
  <si>
    <t>Prihodi od pružanja usluga-zakup coworking prostora</t>
  </si>
  <si>
    <t>Prihodi od pružanja usluga-virtual office</t>
  </si>
  <si>
    <t>Prihodi od pružanja usluga-prefakturiranje režija</t>
  </si>
  <si>
    <t>Prihodi od pružanja usluga-sponzorstva</t>
  </si>
  <si>
    <t>Prihodi od pružanja usluga-poduzetništvo priprema projekata</t>
  </si>
  <si>
    <t>Prihodi od pružanja usluga-poslovni planovi/krediti/studije</t>
  </si>
  <si>
    <t>Prihodi od pružanja usluga-poduzetništvo provedba projekata</t>
  </si>
  <si>
    <t>Prihodi od pružanja usluga-poduzetništvo provedba projekata-SPRINT</t>
  </si>
  <si>
    <t>Prihodi od pružanja usluga-poduzetništvo provedba projekata-ZEZ</t>
  </si>
  <si>
    <t>Prihodi od pružanja usluga-ruralni razvoj priprema projekata</t>
  </si>
  <si>
    <t>Prihodi od pružanja usluga-ruralni razvoj provedba projekata</t>
  </si>
  <si>
    <t>Prihodi od prodaje usluga EU</t>
  </si>
  <si>
    <t>Prihodi od pružanja usluga EU</t>
  </si>
  <si>
    <t>78</t>
  </si>
  <si>
    <t xml:space="preserve">OSTALI POSLOVNI I IZVANREDNI PRIHODI </t>
  </si>
  <si>
    <t>Prihodi od dugoročnih rezerviranja</t>
  </si>
  <si>
    <t>Prihodi od naknadno naplaćenih potraživanja</t>
  </si>
  <si>
    <t>Prihodi od refundacija Mreža Bond (sl.putovanja)</t>
  </si>
  <si>
    <t>Prihodi od refundacija Mreža Bond (edukacije)</t>
  </si>
  <si>
    <t>Prihod od refundacuija KZŽ - Kreiraj svoju budućnost</t>
  </si>
  <si>
    <t>Prihod po zahtjevu za nadoknadom sredstava - ZEZ</t>
  </si>
  <si>
    <t>Prihodi od državnih potpora - HZZ Health IT Akademija 4</t>
  </si>
  <si>
    <t>Prihodi od državnih potpora - HZZ Health IT Akademija 3-odgođeni prihod iz 2024.</t>
  </si>
  <si>
    <t>77</t>
  </si>
  <si>
    <t>FINANCIJSKI PRIHODI</t>
  </si>
  <si>
    <t>7710</t>
  </si>
  <si>
    <t>Prihodi od redovnih kamata</t>
  </si>
  <si>
    <t>Prihodi od kamata, LGF</t>
  </si>
  <si>
    <t>Pozitivne tečajne razlike</t>
  </si>
  <si>
    <t>79</t>
  </si>
  <si>
    <t>RAZLIKA PRIHODA I RASHODA FINANCIJSKE GODINE</t>
  </si>
  <si>
    <t>I. Izmjena</t>
  </si>
  <si>
    <t>Prihod po zahtjevu za nadoknadom sredstava_Interirgional switch</t>
  </si>
  <si>
    <t>Prihod po zahtjevu za nadoknadom sredstava_Marc program</t>
  </si>
  <si>
    <t>Erste zaklada</t>
  </si>
  <si>
    <t>Prihodi od naknada - HBOR krediti</t>
  </si>
  <si>
    <t>Prihod od pružanja usluga-E učionica</t>
  </si>
  <si>
    <t xml:space="preserve">Troškovi promidžbe - MARC </t>
  </si>
  <si>
    <t xml:space="preserve">Usluga održavanja web stranice - MARC </t>
  </si>
  <si>
    <t>Ostale vanjske usluge - MARC</t>
  </si>
  <si>
    <t>Troškovi rezerviranja za godišnje odmore</t>
  </si>
  <si>
    <t>REZERVIRANJA</t>
  </si>
  <si>
    <t>II. Izmjena</t>
  </si>
  <si>
    <t xml:space="preserve">Autorski ugovori </t>
  </si>
  <si>
    <t>Prihodi od pružanja usluga-Health IT akademija</t>
  </si>
  <si>
    <t>listopad</t>
  </si>
  <si>
    <t>studeni</t>
  </si>
  <si>
    <t>prosinac</t>
  </si>
  <si>
    <t>31.12.</t>
  </si>
  <si>
    <t>Realizacija 16.10.</t>
  </si>
  <si>
    <t>Promjena</t>
  </si>
  <si>
    <t>Prihodi od refundacija EBN (službena putovanja)</t>
  </si>
  <si>
    <t>Broj obrazloženja</t>
  </si>
  <si>
    <t>1.</t>
  </si>
  <si>
    <t>5.</t>
  </si>
  <si>
    <t>9.</t>
  </si>
  <si>
    <t>2.</t>
  </si>
  <si>
    <t>3.</t>
  </si>
  <si>
    <t>6.</t>
  </si>
  <si>
    <t>4.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</si>
  <si>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</si>
  <si>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</si>
  <si>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</si>
  <si>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</si>
  <si>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</si>
  <si>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</si>
  <si>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</si>
  <si>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</si>
  <si>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</si>
  <si>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</si>
  <si>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</si>
  <si>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4120/ 41202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</si>
</sst>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0" fillId="0" borderId="1" xfId="0" applyNumberFormat="1" applyBorder="1"/>
    <xf numFmtId="0" fontId="0" fillId="2" borderId="1" xfId="0" applyFill="1" applyBorder="1"/>
    <xf numFmtId="4" fontId="3" fillId="2" borderId="1" xfId="0" applyNumberFormat="1" applyFont="1" applyFill="1" applyBorder="1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left" vertical="center"/>
    </xf>
    <xf numFmtId="164" fontId="0" fillId="0" borderId="0" xfId="1" applyNumberFormat="1" applyFont="1"/>
    <xf numFmtId="0" fontId="0" fillId="0" borderId="3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/>
    <xf numFmtId="4" fontId="2" fillId="2" borderId="1" xfId="0" applyNumberFormat="1" applyFont="1" applyFill="1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5" xfId="0" applyBorder="1"/>
    <xf numFmtId="0" fontId="0" fillId="0" borderId="6" xfId="0" applyBorder="1"/>
    <xf numFmtId="4" fontId="2" fillId="0" borderId="1" xfId="0" applyNumberFormat="1" applyFont="1" applyBorder="1"/>
    <xf numFmtId="4" fontId="0" fillId="2" borderId="1" xfId="0" applyNumberFormat="1" applyFill="1" applyBorder="1"/>
    <xf numFmtId="10" fontId="0" fillId="0" borderId="0" xfId="0" applyNumberFormat="1"/>
    <xf numFmtId="2" fontId="0" fillId="0" borderId="0" xfId="0" applyNumberFormat="1"/>
    <xf numFmtId="0" fontId="0" fillId="3" borderId="1" xfId="0" applyFill="1" applyBorder="1" applyAlignment="1">
      <alignment horizontal="left"/>
    </xf>
    <xf numFmtId="0" fontId="4" fillId="3" borderId="1" xfId="0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4" fontId="0" fillId="0" borderId="1" xfId="0" applyNumberFormat="1" applyBorder="1" applyAlignment="1">
      <alignment horizontal="right"/>
    </xf>
    <xf numFmtId="4" fontId="3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4" borderId="1" xfId="0" applyNumberFormat="1" applyFill="1" applyBorder="1"/>
    <xf numFmtId="4" fontId="0" fillId="5" borderId="1" xfId="0" applyNumberFormat="1" applyFill="1" applyBorder="1"/>
    <xf numFmtId="0" fontId="2" fillId="0" borderId="0" xfId="0" applyFont="1"/>
    <xf numFmtId="4" fontId="0" fillId="4" borderId="1" xfId="0" applyNumberFormat="1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/>
    </xf>
    <xf numFmtId="4" fontId="0" fillId="4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" fontId="0" fillId="2" borderId="1" xfId="0" applyNumberFormat="1" applyFill="1" applyBorder="1" applyAlignment="1">
      <alignment horizontal="right"/>
    </xf>
    <xf numFmtId="4" fontId="0" fillId="4" borderId="2" xfId="0" applyNumberFormat="1" applyFill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0" fillId="3" borderId="1" xfId="0" applyNumberFormat="1" applyFill="1" applyBorder="1" applyAlignment="1">
      <alignment horizontal="right"/>
    </xf>
    <xf numFmtId="4" fontId="0" fillId="4" borderId="3" xfId="0" applyNumberFormat="1" applyFill="1" applyBorder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E675F-E08C-46CF-B81A-EF1FC34578E8}">
  <sheetPr>
    <pageSetUpPr fitToPage="1"/>
  </sheetPr>
  <dimension ref="A1:U171"/>
  <sheetViews>
    <sheetView tabSelected="1" view="pageBreakPreview" topLeftCell="B24" zoomScaleNormal="100" zoomScaleSheetLayoutView="100" workbookViewId="0">
      <selection activeCell="V44" sqref="V44"/>
    </sheetView>
  </sheetViews>
  <sheetFormatPr defaultRowHeight="14.25" x14ac:dyDescent="0.45"/>
  <cols>
    <col min="1" max="1" width="10.265625" hidden="1" customWidth="1"/>
    <col min="2" max="2" width="81.33203125" customWidth="1"/>
    <col min="3" max="3" width="18.19921875" customWidth="1"/>
    <col min="4" max="4" width="12.73046875" customWidth="1"/>
    <col min="5" max="5" width="12.53125" customWidth="1"/>
    <col min="6" max="10" width="13.9296875" hidden="1" customWidth="1"/>
    <col min="11" max="11" width="11.86328125" customWidth="1"/>
    <col min="12" max="12" width="12.73046875" customWidth="1"/>
    <col min="13" max="13" width="11.46484375" customWidth="1"/>
    <col min="14" max="14" width="0.1328125" customWidth="1"/>
    <col min="15" max="15" width="9.73046875" bestFit="1" customWidth="1"/>
    <col min="16" max="16" width="14.1328125" customWidth="1"/>
    <col min="17" max="17" width="15.1328125" customWidth="1"/>
    <col min="19" max="19" width="18.73046875" customWidth="1"/>
    <col min="20" max="20" width="11.73046875" customWidth="1"/>
  </cols>
  <sheetData>
    <row r="1" spans="1:19" x14ac:dyDescent="0.45">
      <c r="A1" s="1" t="s">
        <v>0</v>
      </c>
      <c r="B1" s="1" t="s">
        <v>1</v>
      </c>
      <c r="C1" s="1" t="s">
        <v>2</v>
      </c>
      <c r="D1" s="2" t="s">
        <v>3</v>
      </c>
      <c r="E1" s="2" t="s">
        <v>197</v>
      </c>
      <c r="F1" s="2" t="s">
        <v>215</v>
      </c>
      <c r="G1" s="2" t="s">
        <v>211</v>
      </c>
      <c r="H1" s="2" t="s">
        <v>212</v>
      </c>
      <c r="I1" s="2" t="s">
        <v>213</v>
      </c>
      <c r="J1" s="2" t="s">
        <v>214</v>
      </c>
      <c r="K1" s="2" t="s">
        <v>216</v>
      </c>
      <c r="L1" s="2" t="s">
        <v>208</v>
      </c>
      <c r="M1" s="81" t="s">
        <v>218</v>
      </c>
    </row>
    <row r="2" spans="1:19" x14ac:dyDescent="0.45">
      <c r="A2" s="3">
        <v>4</v>
      </c>
      <c r="B2" s="1" t="s">
        <v>4</v>
      </c>
      <c r="C2" s="1"/>
      <c r="D2" s="4">
        <f>D3+D16+D77+D84+D88+D92+D121+D125</f>
        <v>1435361.46</v>
      </c>
      <c r="E2" s="4">
        <v>1471551.46</v>
      </c>
      <c r="F2" s="4">
        <f>F3+F16+F77+F84+F88+F92+F121+F125</f>
        <v>945234.7300000001</v>
      </c>
      <c r="G2" s="4"/>
      <c r="H2" s="4"/>
      <c r="I2" s="4"/>
      <c r="J2" s="4">
        <f>J3+J16+J77+J84+J88+J92+J121+J125+J90</f>
        <v>1155264.79</v>
      </c>
      <c r="K2" s="49">
        <f>K3+K16+K77+K84+K88+K92+K121+K125+K90</f>
        <v>-251020</v>
      </c>
      <c r="L2" s="4">
        <f>L3+L16+L77+L84+L88+L92+L121+L125+L90</f>
        <v>1220531.46</v>
      </c>
      <c r="M2" s="82"/>
    </row>
    <row r="3" spans="1:19" x14ac:dyDescent="0.45">
      <c r="A3" s="5" t="s">
        <v>5</v>
      </c>
      <c r="B3" s="5" t="s">
        <v>6</v>
      </c>
      <c r="C3" s="5"/>
      <c r="D3" s="6">
        <f>SUM(D4:D15)</f>
        <v>43450</v>
      </c>
      <c r="E3" s="6">
        <v>43450</v>
      </c>
      <c r="F3" s="6">
        <f>SUM(F4:F15)</f>
        <v>28169.52</v>
      </c>
      <c r="G3" s="6"/>
      <c r="H3" s="6"/>
      <c r="I3" s="6"/>
      <c r="J3" s="6">
        <f>SUM(J4:J15)</f>
        <v>37921.600000000006</v>
      </c>
      <c r="K3" s="6">
        <f>SUM(K4:K15)</f>
        <v>-1300</v>
      </c>
      <c r="L3" s="6">
        <f>SUM(L4:L15)</f>
        <v>42150</v>
      </c>
      <c r="M3" s="6"/>
      <c r="O3" s="7"/>
      <c r="P3" s="7"/>
      <c r="Q3" s="7"/>
      <c r="S3" s="8"/>
    </row>
    <row r="4" spans="1:19" x14ac:dyDescent="0.45">
      <c r="A4" s="9">
        <v>4004</v>
      </c>
      <c r="B4" s="9" t="s">
        <v>7</v>
      </c>
      <c r="C4" s="10" t="s">
        <v>8</v>
      </c>
      <c r="D4" s="4">
        <f>3000-500</f>
        <v>2500</v>
      </c>
      <c r="E4" s="4">
        <v>2500</v>
      </c>
      <c r="F4" s="4">
        <f>1535.91+617.49</f>
        <v>2153.4</v>
      </c>
      <c r="G4" s="4"/>
      <c r="H4" s="4">
        <v>100</v>
      </c>
      <c r="I4" s="4">
        <v>120</v>
      </c>
      <c r="J4" s="4">
        <f>F4+G4+H4+I4</f>
        <v>2373.4</v>
      </c>
      <c r="K4" s="49"/>
      <c r="L4" s="4">
        <f>3000-500</f>
        <v>2500</v>
      </c>
      <c r="M4" s="61"/>
      <c r="O4" s="7"/>
      <c r="P4" s="7"/>
      <c r="Q4" s="7"/>
      <c r="S4" s="8"/>
    </row>
    <row r="5" spans="1:19" x14ac:dyDescent="0.45">
      <c r="A5" s="9">
        <v>4010</v>
      </c>
      <c r="B5" s="9" t="s">
        <v>10</v>
      </c>
      <c r="C5" s="11" t="s">
        <v>11</v>
      </c>
      <c r="D5" s="4">
        <v>2500</v>
      </c>
      <c r="E5" s="4">
        <v>2500</v>
      </c>
      <c r="F5" s="4">
        <v>628.20000000000005</v>
      </c>
      <c r="G5" s="4"/>
      <c r="H5" s="4">
        <v>800</v>
      </c>
      <c r="I5" s="4">
        <v>120</v>
      </c>
      <c r="J5" s="4">
        <f t="shared" ref="J5:J15" si="0">F5+G5+H5+I5</f>
        <v>1548.2</v>
      </c>
      <c r="K5" s="49"/>
      <c r="L5" s="4">
        <v>2500</v>
      </c>
      <c r="M5" s="61"/>
      <c r="N5" s="12"/>
      <c r="O5" s="7"/>
      <c r="P5" s="7"/>
      <c r="Q5" s="7"/>
      <c r="S5" s="8"/>
    </row>
    <row r="6" spans="1:19" x14ac:dyDescent="0.45">
      <c r="A6" s="9">
        <v>4014</v>
      </c>
      <c r="B6" s="9" t="s">
        <v>13</v>
      </c>
      <c r="C6" s="11" t="s">
        <v>11</v>
      </c>
      <c r="D6" s="4">
        <v>350</v>
      </c>
      <c r="E6" s="4">
        <v>350</v>
      </c>
      <c r="F6" s="4">
        <v>301.39</v>
      </c>
      <c r="G6" s="4"/>
      <c r="H6" s="4">
        <v>31.04</v>
      </c>
      <c r="I6" s="4">
        <v>31.04</v>
      </c>
      <c r="J6" s="4">
        <f t="shared" si="0"/>
        <v>363.47</v>
      </c>
      <c r="K6" s="49"/>
      <c r="L6" s="4">
        <v>350</v>
      </c>
      <c r="M6" s="61"/>
      <c r="O6" s="7"/>
      <c r="P6" s="7"/>
      <c r="Q6" s="7"/>
      <c r="S6" s="8"/>
    </row>
    <row r="7" spans="1:19" x14ac:dyDescent="0.45">
      <c r="A7" s="13">
        <v>4017</v>
      </c>
      <c r="B7" s="14" t="s">
        <v>15</v>
      </c>
      <c r="C7" s="11" t="s">
        <v>11</v>
      </c>
      <c r="D7" s="4">
        <v>500</v>
      </c>
      <c r="E7" s="4">
        <v>500</v>
      </c>
      <c r="F7" s="4">
        <v>19.760000000000002</v>
      </c>
      <c r="G7" s="4"/>
      <c r="H7" s="4"/>
      <c r="I7" s="4"/>
      <c r="J7" s="4">
        <f t="shared" si="0"/>
        <v>19.760000000000002</v>
      </c>
      <c r="K7" s="49"/>
      <c r="L7" s="4">
        <v>500</v>
      </c>
      <c r="M7" s="61"/>
      <c r="O7" s="7"/>
      <c r="P7" s="7"/>
      <c r="Q7" s="7"/>
      <c r="S7" s="8"/>
    </row>
    <row r="8" spans="1:19" x14ac:dyDescent="0.45">
      <c r="A8" s="83">
        <v>4019</v>
      </c>
      <c r="B8" s="85" t="s">
        <v>17</v>
      </c>
      <c r="C8" s="11" t="s">
        <v>11</v>
      </c>
      <c r="D8" s="4">
        <v>200</v>
      </c>
      <c r="E8" s="4">
        <v>200</v>
      </c>
      <c r="F8" s="4">
        <v>0</v>
      </c>
      <c r="G8" s="4"/>
      <c r="H8" s="4"/>
      <c r="I8" s="4"/>
      <c r="J8" s="4">
        <f t="shared" si="0"/>
        <v>0</v>
      </c>
      <c r="K8" s="49"/>
      <c r="L8" s="4">
        <v>200</v>
      </c>
      <c r="M8" s="61"/>
      <c r="O8" s="7"/>
      <c r="P8" s="7"/>
      <c r="Q8" s="7"/>
      <c r="S8" s="16"/>
    </row>
    <row r="9" spans="1:19" x14ac:dyDescent="0.45">
      <c r="A9" s="84"/>
      <c r="B9" s="86"/>
      <c r="C9" s="11" t="s">
        <v>8</v>
      </c>
      <c r="D9" s="4">
        <v>400</v>
      </c>
      <c r="E9" s="4">
        <v>400</v>
      </c>
      <c r="F9" s="4">
        <v>14.08</v>
      </c>
      <c r="G9" s="4"/>
      <c r="H9" s="4"/>
      <c r="I9" s="4"/>
      <c r="J9" s="4">
        <f t="shared" si="0"/>
        <v>14.08</v>
      </c>
      <c r="K9" s="49"/>
      <c r="L9" s="4">
        <v>400</v>
      </c>
      <c r="M9" s="61"/>
      <c r="O9" s="7"/>
      <c r="P9" s="7"/>
      <c r="Q9" s="7"/>
      <c r="S9" s="8"/>
    </row>
    <row r="10" spans="1:19" x14ac:dyDescent="0.45">
      <c r="A10" s="14" t="s">
        <v>19</v>
      </c>
      <c r="B10" s="11" t="s">
        <v>20</v>
      </c>
      <c r="C10" s="11" t="s">
        <v>11</v>
      </c>
      <c r="D10" s="4">
        <v>5000</v>
      </c>
      <c r="E10" s="4">
        <v>5000</v>
      </c>
      <c r="F10" s="4">
        <v>4266.3599999999997</v>
      </c>
      <c r="G10" s="4"/>
      <c r="H10" s="4"/>
      <c r="I10" s="4"/>
      <c r="J10" s="4">
        <f t="shared" si="0"/>
        <v>4266.3599999999997</v>
      </c>
      <c r="K10" s="49"/>
      <c r="L10" s="4">
        <v>5000</v>
      </c>
      <c r="M10" s="61"/>
      <c r="O10" s="7"/>
      <c r="P10" s="7"/>
      <c r="Q10" s="7"/>
    </row>
    <row r="11" spans="1:19" x14ac:dyDescent="0.45">
      <c r="A11" s="87" t="s">
        <v>21</v>
      </c>
      <c r="B11" s="87" t="s">
        <v>22</v>
      </c>
      <c r="C11" s="11" t="s">
        <v>8</v>
      </c>
      <c r="D11" s="4">
        <v>17000</v>
      </c>
      <c r="E11" s="4">
        <v>17000</v>
      </c>
      <c r="F11" s="4">
        <v>17092.23</v>
      </c>
      <c r="G11" s="4"/>
      <c r="H11" s="4"/>
      <c r="I11" s="4"/>
      <c r="J11" s="4">
        <v>17000</v>
      </c>
      <c r="K11" s="49"/>
      <c r="L11" s="4">
        <v>17000</v>
      </c>
      <c r="M11" s="61"/>
      <c r="Q11" s="7"/>
    </row>
    <row r="12" spans="1:19" x14ac:dyDescent="0.45">
      <c r="A12" s="87"/>
      <c r="B12" s="87"/>
      <c r="C12" s="11" t="s">
        <v>11</v>
      </c>
      <c r="D12" s="4">
        <f>18000-13000</f>
        <v>5000</v>
      </c>
      <c r="E12" s="4">
        <v>5000</v>
      </c>
      <c r="F12" s="4">
        <v>0</v>
      </c>
      <c r="G12" s="4">
        <v>1900</v>
      </c>
      <c r="H12" s="4">
        <v>2000</v>
      </c>
      <c r="I12" s="4">
        <v>2200</v>
      </c>
      <c r="J12" s="4">
        <f>F12+G12+H12+I12+92.23</f>
        <v>6192.23</v>
      </c>
      <c r="K12" s="60">
        <v>1200</v>
      </c>
      <c r="L12" s="54">
        <f>18000-13000+1200</f>
        <v>6200</v>
      </c>
      <c r="M12" s="61" t="s">
        <v>219</v>
      </c>
    </row>
    <row r="13" spans="1:19" x14ac:dyDescent="0.45">
      <c r="A13" s="83" t="s">
        <v>23</v>
      </c>
      <c r="B13" s="83" t="s">
        <v>24</v>
      </c>
      <c r="C13" s="11" t="s">
        <v>8</v>
      </c>
      <c r="D13" s="4">
        <v>5000</v>
      </c>
      <c r="E13" s="4">
        <v>5000</v>
      </c>
      <c r="F13" s="4">
        <f>2621.93+69.84</f>
        <v>2691.77</v>
      </c>
      <c r="G13" s="4">
        <v>300</v>
      </c>
      <c r="H13" s="4">
        <v>700</v>
      </c>
      <c r="I13" s="4">
        <v>900</v>
      </c>
      <c r="J13" s="4">
        <f t="shared" si="0"/>
        <v>4591.7700000000004</v>
      </c>
      <c r="K13" s="49"/>
      <c r="L13" s="4">
        <v>5000</v>
      </c>
      <c r="M13" s="61"/>
    </row>
    <row r="14" spans="1:19" x14ac:dyDescent="0.45">
      <c r="A14" s="84"/>
      <c r="B14" s="84"/>
      <c r="C14" s="11" t="s">
        <v>11</v>
      </c>
      <c r="D14" s="4">
        <f>12500-10000</f>
        <v>2500</v>
      </c>
      <c r="E14" s="4">
        <v>2500</v>
      </c>
      <c r="F14" s="4">
        <v>0</v>
      </c>
      <c r="G14" s="4"/>
      <c r="H14" s="4"/>
      <c r="I14" s="4"/>
      <c r="J14" s="4">
        <f t="shared" si="0"/>
        <v>0</v>
      </c>
      <c r="K14" s="60">
        <v>-2500</v>
      </c>
      <c r="L14" s="54">
        <f>12500-10000-2500</f>
        <v>0</v>
      </c>
      <c r="M14" s="61" t="s">
        <v>222</v>
      </c>
    </row>
    <row r="15" spans="1:19" x14ac:dyDescent="0.45">
      <c r="A15" s="18" t="s">
        <v>25</v>
      </c>
      <c r="B15" s="11" t="s">
        <v>26</v>
      </c>
      <c r="C15" s="11" t="s">
        <v>11</v>
      </c>
      <c r="D15" s="4">
        <v>2500</v>
      </c>
      <c r="E15" s="4">
        <v>2500</v>
      </c>
      <c r="F15" s="4">
        <v>1002.33</v>
      </c>
      <c r="G15" s="4">
        <v>190</v>
      </c>
      <c r="H15" s="4">
        <v>140</v>
      </c>
      <c r="I15" s="4">
        <v>220</v>
      </c>
      <c r="J15" s="4">
        <f t="shared" si="0"/>
        <v>1552.33</v>
      </c>
      <c r="K15" s="49"/>
      <c r="L15" s="4">
        <v>2500</v>
      </c>
      <c r="M15" s="61"/>
    </row>
    <row r="16" spans="1:19" x14ac:dyDescent="0.45">
      <c r="A16" s="5" t="s">
        <v>27</v>
      </c>
      <c r="B16" s="5" t="s">
        <v>9</v>
      </c>
      <c r="C16" s="5"/>
      <c r="D16" s="6">
        <f>SUM(D17:D76)</f>
        <v>891708</v>
      </c>
      <c r="E16" s="6">
        <v>909698</v>
      </c>
      <c r="F16" s="6">
        <f>SUM(F17:F76)</f>
        <v>628472.92000000004</v>
      </c>
      <c r="G16" s="6"/>
      <c r="H16" s="6"/>
      <c r="I16" s="6"/>
      <c r="J16" s="6">
        <f>SUM(J17:J76)</f>
        <v>713791.03</v>
      </c>
      <c r="K16" s="64">
        <f>SUM(K17:K76)</f>
        <v>-153100</v>
      </c>
      <c r="L16" s="6">
        <f>SUM(L17:L76)</f>
        <v>756598</v>
      </c>
      <c r="M16" s="52"/>
    </row>
    <row r="17" spans="1:13" x14ac:dyDescent="0.45">
      <c r="A17" s="14" t="s">
        <v>28</v>
      </c>
      <c r="B17" s="11" t="s">
        <v>29</v>
      </c>
      <c r="C17" s="11" t="s">
        <v>11</v>
      </c>
      <c r="D17" s="4">
        <v>10060</v>
      </c>
      <c r="E17" s="4">
        <v>10060</v>
      </c>
      <c r="F17" s="4">
        <v>6643.78</v>
      </c>
      <c r="G17" s="4">
        <v>742.94</v>
      </c>
      <c r="H17" s="4">
        <v>742.94</v>
      </c>
      <c r="I17" s="4">
        <v>742.94</v>
      </c>
      <c r="J17" s="4">
        <f>F17+G17+H17+I17</f>
        <v>8872.6</v>
      </c>
      <c r="K17" s="49"/>
      <c r="L17" s="4">
        <v>10060</v>
      </c>
      <c r="M17" s="61"/>
    </row>
    <row r="18" spans="1:13" x14ac:dyDescent="0.45">
      <c r="A18" s="14" t="s">
        <v>30</v>
      </c>
      <c r="B18" s="14" t="s">
        <v>31</v>
      </c>
      <c r="C18" s="11" t="s">
        <v>11</v>
      </c>
      <c r="D18" s="4">
        <v>250</v>
      </c>
      <c r="E18" s="4">
        <v>250</v>
      </c>
      <c r="F18" s="4">
        <v>153.34</v>
      </c>
      <c r="G18" s="4">
        <v>10</v>
      </c>
      <c r="H18" s="4">
        <v>20</v>
      </c>
      <c r="I18" s="4">
        <v>35</v>
      </c>
      <c r="J18" s="4">
        <f t="shared" ref="J18:J76" si="1">F18+G18+H18+I18</f>
        <v>218.34</v>
      </c>
      <c r="K18" s="49"/>
      <c r="L18" s="4">
        <v>250</v>
      </c>
      <c r="M18" s="61"/>
    </row>
    <row r="19" spans="1:13" x14ac:dyDescent="0.45">
      <c r="A19" s="14" t="s">
        <v>32</v>
      </c>
      <c r="B19" s="11" t="s">
        <v>33</v>
      </c>
      <c r="C19" s="11" t="s">
        <v>11</v>
      </c>
      <c r="D19" s="4">
        <v>3000</v>
      </c>
      <c r="E19" s="4">
        <v>3000</v>
      </c>
      <c r="F19" s="4">
        <v>2500</v>
      </c>
      <c r="G19" s="4"/>
      <c r="H19" s="4"/>
      <c r="I19" s="4"/>
      <c r="J19" s="4">
        <f t="shared" si="1"/>
        <v>2500</v>
      </c>
      <c r="K19" s="49"/>
      <c r="L19" s="4">
        <v>3000</v>
      </c>
      <c r="M19" s="61"/>
    </row>
    <row r="20" spans="1:13" x14ac:dyDescent="0.45">
      <c r="A20" s="88">
        <v>4119</v>
      </c>
      <c r="B20" s="90" t="s">
        <v>34</v>
      </c>
      <c r="C20" s="11" t="s">
        <v>35</v>
      </c>
      <c r="D20" s="4">
        <v>9120.4</v>
      </c>
      <c r="E20" s="4">
        <v>9120.4</v>
      </c>
      <c r="F20" s="4">
        <v>9120.4</v>
      </c>
      <c r="G20" s="4"/>
      <c r="H20" s="4"/>
      <c r="I20" s="4"/>
      <c r="J20" s="4">
        <f t="shared" si="1"/>
        <v>9120.4</v>
      </c>
      <c r="K20" s="49"/>
      <c r="L20" s="4">
        <v>9120.4</v>
      </c>
      <c r="M20" s="61"/>
    </row>
    <row r="21" spans="1:13" x14ac:dyDescent="0.45">
      <c r="A21" s="89"/>
      <c r="B21" s="91"/>
      <c r="C21" s="11" t="s">
        <v>11</v>
      </c>
      <c r="D21" s="4">
        <v>1279.5999999999999</v>
      </c>
      <c r="E21" s="4">
        <v>1279.5999999999999</v>
      </c>
      <c r="F21" s="4">
        <v>1265.56</v>
      </c>
      <c r="G21" s="4"/>
      <c r="H21" s="4"/>
      <c r="I21" s="4"/>
      <c r="J21" s="4">
        <f t="shared" si="1"/>
        <v>1265.56</v>
      </c>
      <c r="K21" s="49"/>
      <c r="L21" s="4">
        <v>1279.5999999999999</v>
      </c>
      <c r="M21" s="61"/>
    </row>
    <row r="22" spans="1:13" x14ac:dyDescent="0.45">
      <c r="A22" s="83">
        <v>4119</v>
      </c>
      <c r="B22" s="90" t="s">
        <v>36</v>
      </c>
      <c r="C22" s="11" t="s">
        <v>35</v>
      </c>
      <c r="D22" s="4">
        <v>13680.6</v>
      </c>
      <c r="E22" s="4">
        <v>13680.6</v>
      </c>
      <c r="F22" s="4">
        <v>0</v>
      </c>
      <c r="G22" s="4">
        <v>3333.34</v>
      </c>
      <c r="H22" s="4">
        <f>3333.34+1200</f>
        <v>4533.34</v>
      </c>
      <c r="I22" s="4">
        <f>3333.32+1200</f>
        <v>4533.32</v>
      </c>
      <c r="J22" s="4">
        <f t="shared" si="1"/>
        <v>12400</v>
      </c>
      <c r="K22" s="49"/>
      <c r="L22" s="4">
        <v>13680.6</v>
      </c>
      <c r="M22" s="61"/>
    </row>
    <row r="23" spans="1:13" x14ac:dyDescent="0.45">
      <c r="A23" s="84"/>
      <c r="B23" s="91"/>
      <c r="C23" s="11" t="s">
        <v>11</v>
      </c>
      <c r="D23" s="4">
        <v>1919.4</v>
      </c>
      <c r="E23" s="4">
        <v>1919.4</v>
      </c>
      <c r="F23" s="4">
        <v>0</v>
      </c>
      <c r="G23" s="4"/>
      <c r="H23" s="4"/>
      <c r="I23" s="4"/>
      <c r="J23" s="4">
        <f t="shared" si="1"/>
        <v>0</v>
      </c>
      <c r="K23" s="49"/>
      <c r="L23" s="4">
        <v>1919.4</v>
      </c>
      <c r="M23" s="61"/>
    </row>
    <row r="24" spans="1:13" x14ac:dyDescent="0.45">
      <c r="A24" s="83">
        <v>4119</v>
      </c>
      <c r="B24" s="90" t="s">
        <v>37</v>
      </c>
      <c r="C24" s="11" t="s">
        <v>11</v>
      </c>
      <c r="D24" s="4">
        <v>8100</v>
      </c>
      <c r="E24" s="4">
        <v>8100</v>
      </c>
      <c r="F24" s="4">
        <f>4255.7-3000</f>
        <v>1255.6999999999998</v>
      </c>
      <c r="G24" s="4"/>
      <c r="H24" s="4">
        <v>2340</v>
      </c>
      <c r="I24" s="4"/>
      <c r="J24" s="4">
        <f t="shared" si="1"/>
        <v>3595.7</v>
      </c>
      <c r="K24" s="60">
        <v>-3000</v>
      </c>
      <c r="L24" s="54">
        <f>8100-3000</f>
        <v>5100</v>
      </c>
      <c r="M24" s="78" t="s">
        <v>223</v>
      </c>
    </row>
    <row r="25" spans="1:13" x14ac:dyDescent="0.45">
      <c r="A25" s="84"/>
      <c r="B25" s="91"/>
      <c r="C25" s="11" t="s">
        <v>39</v>
      </c>
      <c r="D25" s="4">
        <v>0</v>
      </c>
      <c r="E25" s="4">
        <v>0</v>
      </c>
      <c r="F25" s="4">
        <v>3000</v>
      </c>
      <c r="G25" s="4">
        <v>0</v>
      </c>
      <c r="H25" s="4">
        <v>0</v>
      </c>
      <c r="I25" s="4">
        <v>0</v>
      </c>
      <c r="J25" s="4">
        <f>F25</f>
        <v>3000</v>
      </c>
      <c r="K25" s="60">
        <v>3000</v>
      </c>
      <c r="L25" s="54">
        <v>3000</v>
      </c>
      <c r="M25" s="79"/>
    </row>
    <row r="26" spans="1:13" x14ac:dyDescent="0.45">
      <c r="A26" s="21">
        <v>4119</v>
      </c>
      <c r="B26" s="22" t="s">
        <v>38</v>
      </c>
      <c r="C26" s="11" t="s">
        <v>39</v>
      </c>
      <c r="D26" s="4">
        <v>5000</v>
      </c>
      <c r="E26" s="4">
        <v>5000</v>
      </c>
      <c r="F26" s="4">
        <v>5065</v>
      </c>
      <c r="G26" s="4"/>
      <c r="H26" s="4"/>
      <c r="I26" s="4"/>
      <c r="J26" s="4">
        <f t="shared" si="1"/>
        <v>5065</v>
      </c>
      <c r="K26" s="49"/>
      <c r="L26" s="4">
        <v>5000</v>
      </c>
      <c r="M26" s="61"/>
    </row>
    <row r="27" spans="1:13" x14ac:dyDescent="0.45">
      <c r="A27" s="21">
        <v>4119</v>
      </c>
      <c r="B27" s="22" t="s">
        <v>40</v>
      </c>
      <c r="C27" s="11" t="s">
        <v>41</v>
      </c>
      <c r="D27" s="4">
        <v>0</v>
      </c>
      <c r="E27" s="4">
        <v>3040</v>
      </c>
      <c r="F27" s="4">
        <f>690+2350</f>
        <v>3040</v>
      </c>
      <c r="G27" s="4"/>
      <c r="H27" s="4"/>
      <c r="I27" s="4"/>
      <c r="J27" s="4">
        <f t="shared" si="1"/>
        <v>3040</v>
      </c>
      <c r="K27" s="49"/>
      <c r="L27" s="4">
        <f>690+2350</f>
        <v>3040</v>
      </c>
      <c r="M27" s="61"/>
    </row>
    <row r="28" spans="1:13" x14ac:dyDescent="0.45">
      <c r="A28" s="21">
        <v>4119</v>
      </c>
      <c r="B28" s="22" t="s">
        <v>42</v>
      </c>
      <c r="C28" s="11" t="s">
        <v>11</v>
      </c>
      <c r="D28" s="4">
        <v>19500</v>
      </c>
      <c r="E28" s="4">
        <v>22150</v>
      </c>
      <c r="F28" s="4">
        <v>33150</v>
      </c>
      <c r="G28" s="4"/>
      <c r="H28" s="4"/>
      <c r="I28" s="4"/>
      <c r="J28" s="4">
        <f t="shared" si="1"/>
        <v>33150</v>
      </c>
      <c r="K28" s="60">
        <v>11000</v>
      </c>
      <c r="L28" s="54">
        <f>19500+2650+11000</f>
        <v>33150</v>
      </c>
      <c r="M28" s="61" t="s">
        <v>225</v>
      </c>
    </row>
    <row r="29" spans="1:13" x14ac:dyDescent="0.45">
      <c r="A29" s="21">
        <v>4119</v>
      </c>
      <c r="B29" s="22" t="s">
        <v>205</v>
      </c>
      <c r="C29" s="11" t="s">
        <v>200</v>
      </c>
      <c r="D29" s="4">
        <v>0</v>
      </c>
      <c r="E29" s="4">
        <v>8000</v>
      </c>
      <c r="F29" s="4"/>
      <c r="G29" s="4"/>
      <c r="H29" s="4"/>
      <c r="I29" s="4">
        <f>1000+4000</f>
        <v>5000</v>
      </c>
      <c r="J29" s="4">
        <f t="shared" si="1"/>
        <v>5000</v>
      </c>
      <c r="K29" s="60">
        <v>-2000</v>
      </c>
      <c r="L29" s="54">
        <f>8000-2000</f>
        <v>6000</v>
      </c>
      <c r="M29" s="61" t="s">
        <v>220</v>
      </c>
    </row>
    <row r="30" spans="1:13" x14ac:dyDescent="0.45">
      <c r="A30" s="9">
        <v>4119</v>
      </c>
      <c r="B30" s="10" t="s">
        <v>43</v>
      </c>
      <c r="C30" s="11" t="s">
        <v>44</v>
      </c>
      <c r="D30" s="4">
        <v>9000</v>
      </c>
      <c r="E30" s="4">
        <v>9000</v>
      </c>
      <c r="F30" s="4">
        <v>1200</v>
      </c>
      <c r="G30" s="4"/>
      <c r="H30" s="4"/>
      <c r="I30" s="4"/>
      <c r="J30" s="4">
        <f t="shared" si="1"/>
        <v>1200</v>
      </c>
      <c r="K30" s="60">
        <v>-7800</v>
      </c>
      <c r="L30" s="54">
        <f>9000-7800</f>
        <v>1200</v>
      </c>
      <c r="M30" s="61" t="s">
        <v>224</v>
      </c>
    </row>
    <row r="31" spans="1:13" x14ac:dyDescent="0.45">
      <c r="A31" s="23">
        <v>41201</v>
      </c>
      <c r="B31" s="10" t="s">
        <v>45</v>
      </c>
      <c r="C31" s="11" t="s">
        <v>8</v>
      </c>
      <c r="D31" s="4">
        <f>5000+2000</f>
        <v>7000</v>
      </c>
      <c r="E31" s="4">
        <v>7000</v>
      </c>
      <c r="F31" s="4">
        <f>530.82+4490.4</f>
        <v>5021.2199999999993</v>
      </c>
      <c r="G31" s="4">
        <v>66.349999999999994</v>
      </c>
      <c r="H31" s="4">
        <v>66.349999999999994</v>
      </c>
      <c r="I31" s="4">
        <v>66.349999999999994</v>
      </c>
      <c r="J31" s="4">
        <f t="shared" si="1"/>
        <v>5220.2700000000004</v>
      </c>
      <c r="K31" s="49"/>
      <c r="L31" s="4">
        <f>5000+2000</f>
        <v>7000</v>
      </c>
      <c r="M31" s="61"/>
    </row>
    <row r="32" spans="1:13" ht="28.5" x14ac:dyDescent="0.45">
      <c r="A32" s="24" t="s">
        <v>237</v>
      </c>
      <c r="B32" s="20" t="s">
        <v>46</v>
      </c>
      <c r="C32" s="10" t="s">
        <v>8</v>
      </c>
      <c r="D32" s="25">
        <f>21350+4000</f>
        <v>25350</v>
      </c>
      <c r="E32" s="25">
        <v>25350</v>
      </c>
      <c r="F32" s="25">
        <f>11560.85-2213.6</f>
        <v>9347.25</v>
      </c>
      <c r="G32" s="25">
        <f>360+310+892+65</f>
        <v>1627</v>
      </c>
      <c r="H32" s="25">
        <f>1312+65+3070.67</f>
        <v>4447.67</v>
      </c>
      <c r="I32" s="25">
        <f>150+65+280+150.38</f>
        <v>645.38</v>
      </c>
      <c r="J32" s="4">
        <f t="shared" si="1"/>
        <v>16067.3</v>
      </c>
      <c r="K32" s="49"/>
      <c r="L32" s="25">
        <f>21350+4000</f>
        <v>25350</v>
      </c>
      <c r="M32" s="61"/>
    </row>
    <row r="33" spans="1:14" x14ac:dyDescent="0.45">
      <c r="A33" s="9">
        <v>4122</v>
      </c>
      <c r="B33" s="10" t="s">
        <v>47</v>
      </c>
      <c r="C33" s="10" t="s">
        <v>8</v>
      </c>
      <c r="D33" s="4">
        <v>18500</v>
      </c>
      <c r="E33" s="4">
        <v>18500</v>
      </c>
      <c r="F33" s="4">
        <v>14320</v>
      </c>
      <c r="G33" s="4">
        <v>1380</v>
      </c>
      <c r="H33" s="4">
        <v>1140</v>
      </c>
      <c r="I33" s="4">
        <v>1260</v>
      </c>
      <c r="J33" s="4">
        <f t="shared" si="1"/>
        <v>18100</v>
      </c>
      <c r="K33" s="49"/>
      <c r="L33" s="4">
        <v>18500</v>
      </c>
      <c r="M33" s="61"/>
    </row>
    <row r="34" spans="1:14" x14ac:dyDescent="0.45">
      <c r="A34" s="9">
        <v>4122</v>
      </c>
      <c r="B34" s="10" t="s">
        <v>48</v>
      </c>
      <c r="C34" s="10" t="s">
        <v>8</v>
      </c>
      <c r="D34" s="4">
        <v>3500</v>
      </c>
      <c r="E34" s="4">
        <v>3500</v>
      </c>
      <c r="F34" s="4">
        <v>0</v>
      </c>
      <c r="G34" s="4"/>
      <c r="H34" s="4"/>
      <c r="I34" s="4"/>
      <c r="J34" s="4">
        <f t="shared" si="1"/>
        <v>0</v>
      </c>
      <c r="K34" s="49"/>
      <c r="L34" s="4">
        <v>3500</v>
      </c>
      <c r="M34" s="61"/>
    </row>
    <row r="35" spans="1:14" ht="43.5" customHeight="1" x14ac:dyDescent="0.45">
      <c r="A35" s="83">
        <v>4123</v>
      </c>
      <c r="B35" s="26" t="s">
        <v>49</v>
      </c>
      <c r="C35" s="10" t="s">
        <v>11</v>
      </c>
      <c r="D35" s="25">
        <f>5730+500</f>
        <v>6230</v>
      </c>
      <c r="E35" s="25">
        <v>8230</v>
      </c>
      <c r="F35" s="25">
        <v>4900.18</v>
      </c>
      <c r="G35" s="25">
        <f>130+24.13</f>
        <v>154.13</v>
      </c>
      <c r="H35" s="25">
        <f>130+24.13</f>
        <v>154.13</v>
      </c>
      <c r="I35" s="25">
        <f>130+1000+24.13</f>
        <v>1154.1300000000001</v>
      </c>
      <c r="J35" s="25">
        <f t="shared" si="1"/>
        <v>6362.5700000000006</v>
      </c>
      <c r="K35" s="33"/>
      <c r="L35" s="25">
        <f>5730+500+2000</f>
        <v>8230</v>
      </c>
      <c r="M35" s="62"/>
    </row>
    <row r="36" spans="1:14" x14ac:dyDescent="0.45">
      <c r="A36" s="92"/>
      <c r="B36" s="26" t="s">
        <v>50</v>
      </c>
      <c r="C36" s="11" t="s">
        <v>39</v>
      </c>
      <c r="D36" s="25">
        <v>4400</v>
      </c>
      <c r="E36" s="25">
        <v>4400</v>
      </c>
      <c r="F36" s="25">
        <f>2174.67+450</f>
        <v>2624.67</v>
      </c>
      <c r="G36" s="25">
        <f>241.63+50</f>
        <v>291.63</v>
      </c>
      <c r="H36" s="25">
        <f>241.63+50</f>
        <v>291.63</v>
      </c>
      <c r="I36" s="25">
        <f>241.63+900+50</f>
        <v>1191.6300000000001</v>
      </c>
      <c r="J36" s="4">
        <f t="shared" si="1"/>
        <v>4399.5600000000004</v>
      </c>
      <c r="K36" s="49"/>
      <c r="L36" s="25">
        <f>4400</f>
        <v>4400</v>
      </c>
      <c r="M36" s="61"/>
    </row>
    <row r="37" spans="1:14" x14ac:dyDescent="0.45">
      <c r="A37" s="84"/>
      <c r="B37" s="26" t="s">
        <v>204</v>
      </c>
      <c r="C37" s="11" t="s">
        <v>200</v>
      </c>
      <c r="D37" s="25">
        <v>0</v>
      </c>
      <c r="E37" s="25">
        <v>200</v>
      </c>
      <c r="F37" s="25"/>
      <c r="G37" s="25"/>
      <c r="H37" s="25"/>
      <c r="I37" s="25">
        <v>200</v>
      </c>
      <c r="J37" s="4">
        <f t="shared" si="1"/>
        <v>200</v>
      </c>
      <c r="K37" s="49"/>
      <c r="L37" s="25">
        <v>200</v>
      </c>
      <c r="M37" s="61"/>
    </row>
    <row r="38" spans="1:14" x14ac:dyDescent="0.45">
      <c r="A38" s="27" t="s">
        <v>51</v>
      </c>
      <c r="B38" s="28" t="s">
        <v>52</v>
      </c>
      <c r="C38" s="11" t="s">
        <v>11</v>
      </c>
      <c r="D38" s="4">
        <v>700</v>
      </c>
      <c r="E38" s="4">
        <v>700</v>
      </c>
      <c r="F38" s="4">
        <v>420.81</v>
      </c>
      <c r="G38" s="4"/>
      <c r="H38" s="4">
        <f>20+100</f>
        <v>120</v>
      </c>
      <c r="I38" s="4"/>
      <c r="J38" s="4">
        <f>F38+G38+H38+I38</f>
        <v>540.80999999999995</v>
      </c>
      <c r="K38" s="49"/>
      <c r="L38" s="4">
        <v>700</v>
      </c>
      <c r="M38" s="61"/>
    </row>
    <row r="39" spans="1:14" x14ac:dyDescent="0.45">
      <c r="A39" s="83" t="s">
        <v>53</v>
      </c>
      <c r="B39" s="11" t="s">
        <v>54</v>
      </c>
      <c r="C39" s="10" t="s">
        <v>8</v>
      </c>
      <c r="D39" s="4">
        <v>1300</v>
      </c>
      <c r="E39" s="4">
        <v>1300</v>
      </c>
      <c r="F39" s="4">
        <v>980</v>
      </c>
      <c r="G39" s="4"/>
      <c r="H39" s="4"/>
      <c r="I39" s="4"/>
      <c r="J39" s="4">
        <f t="shared" si="1"/>
        <v>980</v>
      </c>
      <c r="K39" s="49"/>
      <c r="L39" s="4">
        <v>1300</v>
      </c>
      <c r="M39" s="61"/>
    </row>
    <row r="40" spans="1:14" ht="15" customHeight="1" x14ac:dyDescent="0.45">
      <c r="A40" s="84"/>
      <c r="B40" s="11" t="s">
        <v>55</v>
      </c>
      <c r="C40" s="11" t="s">
        <v>11</v>
      </c>
      <c r="D40" s="4">
        <v>630</v>
      </c>
      <c r="E40" s="4">
        <v>630</v>
      </c>
      <c r="F40" s="4">
        <v>450</v>
      </c>
      <c r="G40" s="4"/>
      <c r="H40" s="4">
        <v>50</v>
      </c>
      <c r="I40" s="4">
        <v>50</v>
      </c>
      <c r="J40" s="4">
        <f t="shared" si="1"/>
        <v>550</v>
      </c>
      <c r="K40" s="49"/>
      <c r="L40" s="4">
        <v>630</v>
      </c>
      <c r="M40" s="61"/>
    </row>
    <row r="41" spans="1:14" x14ac:dyDescent="0.45">
      <c r="A41" s="14" t="s">
        <v>56</v>
      </c>
      <c r="B41" s="14" t="s">
        <v>57</v>
      </c>
      <c r="C41" s="11" t="s">
        <v>11</v>
      </c>
      <c r="D41" s="4">
        <v>180</v>
      </c>
      <c r="E41" s="4">
        <v>180</v>
      </c>
      <c r="F41" s="4">
        <v>189.8</v>
      </c>
      <c r="G41" s="4"/>
      <c r="H41" s="4"/>
      <c r="I41" s="4"/>
      <c r="J41" s="4">
        <f t="shared" si="1"/>
        <v>189.8</v>
      </c>
      <c r="K41" s="49"/>
      <c r="L41" s="4">
        <v>180</v>
      </c>
      <c r="M41" s="61"/>
    </row>
    <row r="42" spans="1:14" x14ac:dyDescent="0.45">
      <c r="A42" s="14" t="s">
        <v>58</v>
      </c>
      <c r="B42" s="31" t="s">
        <v>59</v>
      </c>
      <c r="C42" s="11" t="s">
        <v>11</v>
      </c>
      <c r="D42" s="4">
        <v>12698</v>
      </c>
      <c r="E42" s="4">
        <v>12698</v>
      </c>
      <c r="F42" s="4">
        <f>8464.96+1058.12</f>
        <v>9523.0799999999981</v>
      </c>
      <c r="G42" s="4">
        <v>1058.1199999999999</v>
      </c>
      <c r="H42" s="4">
        <v>1058.1199999999999</v>
      </c>
      <c r="I42" s="4">
        <v>1058.1199999999999</v>
      </c>
      <c r="J42" s="4">
        <f t="shared" si="1"/>
        <v>12697.439999999995</v>
      </c>
      <c r="K42" s="49"/>
      <c r="L42" s="4">
        <v>12698</v>
      </c>
      <c r="M42" s="61"/>
    </row>
    <row r="43" spans="1:14" x14ac:dyDescent="0.45">
      <c r="A43" s="83">
        <v>4141</v>
      </c>
      <c r="B43" s="85" t="s">
        <v>60</v>
      </c>
      <c r="C43" s="11" t="s">
        <v>11</v>
      </c>
      <c r="D43" s="4">
        <v>32000</v>
      </c>
      <c r="E43" s="4">
        <v>10000</v>
      </c>
      <c r="F43" s="4">
        <v>9640</v>
      </c>
      <c r="G43" s="4"/>
      <c r="H43" s="4"/>
      <c r="I43" s="4"/>
      <c r="J43" s="4">
        <f t="shared" si="1"/>
        <v>9640</v>
      </c>
      <c r="K43" s="25"/>
      <c r="L43" s="4">
        <f>32000-22000</f>
        <v>10000</v>
      </c>
      <c r="M43" s="25"/>
    </row>
    <row r="44" spans="1:14" x14ac:dyDescent="0.45">
      <c r="A44" s="84"/>
      <c r="B44" s="86"/>
      <c r="C44" s="11" t="s">
        <v>41</v>
      </c>
      <c r="D44" s="4">
        <v>0</v>
      </c>
      <c r="E44" s="4">
        <v>3600</v>
      </c>
      <c r="F44" s="4">
        <v>3600</v>
      </c>
      <c r="G44" s="4"/>
      <c r="H44" s="4"/>
      <c r="I44" s="4"/>
      <c r="J44" s="4">
        <f t="shared" si="1"/>
        <v>3600</v>
      </c>
      <c r="K44" s="25"/>
      <c r="L44" s="4">
        <v>3600</v>
      </c>
      <c r="M44" s="25"/>
    </row>
    <row r="45" spans="1:14" x14ac:dyDescent="0.45">
      <c r="A45" s="14" t="s">
        <v>61</v>
      </c>
      <c r="B45" s="11" t="s">
        <v>62</v>
      </c>
      <c r="C45" s="11" t="s">
        <v>11</v>
      </c>
      <c r="D45" s="4">
        <v>3300</v>
      </c>
      <c r="E45" s="4">
        <v>3300</v>
      </c>
      <c r="F45" s="4">
        <v>2497.4</v>
      </c>
      <c r="G45" s="4"/>
      <c r="H45" s="4">
        <v>243.69</v>
      </c>
      <c r="I45" s="4">
        <v>243.69</v>
      </c>
      <c r="J45" s="4">
        <f t="shared" si="1"/>
        <v>2984.78</v>
      </c>
      <c r="K45" s="49"/>
      <c r="L45" s="4">
        <v>3300</v>
      </c>
      <c r="M45" s="61"/>
      <c r="N45" s="56"/>
    </row>
    <row r="46" spans="1:14" x14ac:dyDescent="0.45">
      <c r="A46" s="13">
        <v>41492</v>
      </c>
      <c r="B46" s="11" t="s">
        <v>63</v>
      </c>
      <c r="C46" s="11" t="s">
        <v>11</v>
      </c>
      <c r="D46" s="4">
        <v>2800</v>
      </c>
      <c r="E46" s="4">
        <v>3100</v>
      </c>
      <c r="F46" s="4">
        <f>2267.24+150</f>
        <v>2417.2399999999998</v>
      </c>
      <c r="G46" s="4">
        <v>176.36</v>
      </c>
      <c r="H46" s="4">
        <v>176.36</v>
      </c>
      <c r="I46" s="4">
        <v>182.66</v>
      </c>
      <c r="J46" s="4">
        <f t="shared" si="1"/>
        <v>2952.62</v>
      </c>
      <c r="K46" s="49"/>
      <c r="L46" s="4">
        <f>2800+300</f>
        <v>3100</v>
      </c>
      <c r="M46" s="61"/>
    </row>
    <row r="47" spans="1:14" x14ac:dyDescent="0.45">
      <c r="A47" s="14" t="s">
        <v>64</v>
      </c>
      <c r="B47" s="11" t="s">
        <v>65</v>
      </c>
      <c r="C47" s="11" t="s">
        <v>39</v>
      </c>
      <c r="D47" s="4">
        <v>130</v>
      </c>
      <c r="E47" s="4">
        <v>130</v>
      </c>
      <c r="F47" s="4">
        <v>130</v>
      </c>
      <c r="G47" s="4"/>
      <c r="H47" s="4"/>
      <c r="I47" s="4"/>
      <c r="J47" s="4">
        <f t="shared" si="1"/>
        <v>130</v>
      </c>
      <c r="K47" s="49"/>
      <c r="L47" s="4">
        <v>130</v>
      </c>
      <c r="M47" s="61"/>
    </row>
    <row r="48" spans="1:14" ht="28.9" customHeight="1" x14ac:dyDescent="0.45">
      <c r="A48" s="15" t="s">
        <v>66</v>
      </c>
      <c r="B48" s="20" t="s">
        <v>67</v>
      </c>
      <c r="C48" s="10" t="s">
        <v>11</v>
      </c>
      <c r="D48" s="25">
        <v>8730</v>
      </c>
      <c r="E48" s="25">
        <v>8730</v>
      </c>
      <c r="F48" s="25">
        <f>7121.48+2025</f>
        <v>9146.48</v>
      </c>
      <c r="G48" s="25">
        <v>636</v>
      </c>
      <c r="H48" s="25">
        <v>636</v>
      </c>
      <c r="I48" s="25">
        <v>636</v>
      </c>
      <c r="J48" s="25">
        <f t="shared" si="1"/>
        <v>11054.48</v>
      </c>
      <c r="K48" s="59">
        <v>2500</v>
      </c>
      <c r="L48" s="57">
        <f>8730+2500</f>
        <v>11230</v>
      </c>
      <c r="M48" s="62" t="s">
        <v>226</v>
      </c>
    </row>
    <row r="49" spans="1:13" ht="13.9" customHeight="1" x14ac:dyDescent="0.45">
      <c r="A49" s="15">
        <v>4150</v>
      </c>
      <c r="B49" s="20" t="s">
        <v>203</v>
      </c>
      <c r="C49" s="10" t="s">
        <v>200</v>
      </c>
      <c r="D49" s="25">
        <v>0</v>
      </c>
      <c r="E49" s="25">
        <v>4700</v>
      </c>
      <c r="F49" s="25">
        <v>2100</v>
      </c>
      <c r="G49" s="25">
        <v>600</v>
      </c>
      <c r="H49" s="25">
        <v>600</v>
      </c>
      <c r="I49" s="25">
        <v>1100</v>
      </c>
      <c r="J49" s="4">
        <f t="shared" si="1"/>
        <v>4400</v>
      </c>
      <c r="K49" s="49"/>
      <c r="L49" s="25">
        <v>4700</v>
      </c>
      <c r="M49" s="61"/>
    </row>
    <row r="50" spans="1:13" ht="15" customHeight="1" x14ac:dyDescent="0.45">
      <c r="A50" s="15">
        <v>4150</v>
      </c>
      <c r="B50" s="20" t="s">
        <v>68</v>
      </c>
      <c r="C50" s="11" t="s">
        <v>39</v>
      </c>
      <c r="D50" s="4">
        <v>3000</v>
      </c>
      <c r="E50" s="4">
        <v>3000</v>
      </c>
      <c r="F50" s="4">
        <v>3000</v>
      </c>
      <c r="G50" s="4"/>
      <c r="H50" s="4"/>
      <c r="I50" s="4"/>
      <c r="J50" s="4">
        <f t="shared" si="1"/>
        <v>3000</v>
      </c>
      <c r="K50" s="49"/>
      <c r="L50" s="4">
        <v>3000</v>
      </c>
      <c r="M50" s="61"/>
    </row>
    <row r="51" spans="1:13" ht="15" customHeight="1" x14ac:dyDescent="0.45">
      <c r="A51" s="83">
        <v>4160</v>
      </c>
      <c r="B51" s="90" t="s">
        <v>209</v>
      </c>
      <c r="C51" s="11" t="s">
        <v>39</v>
      </c>
      <c r="D51" s="4">
        <v>1100</v>
      </c>
      <c r="E51" s="4">
        <v>1100</v>
      </c>
      <c r="F51" s="4">
        <v>1100</v>
      </c>
      <c r="G51" s="4"/>
      <c r="H51" s="4"/>
      <c r="I51" s="4"/>
      <c r="J51" s="4">
        <f t="shared" si="1"/>
        <v>1100</v>
      </c>
      <c r="K51" s="49"/>
      <c r="L51" s="4">
        <v>1100</v>
      </c>
      <c r="M51" s="61"/>
    </row>
    <row r="52" spans="1:13" ht="15" customHeight="1" x14ac:dyDescent="0.45">
      <c r="A52" s="92"/>
      <c r="B52" s="93"/>
      <c r="C52" s="11" t="s">
        <v>11</v>
      </c>
      <c r="D52" s="4">
        <v>0</v>
      </c>
      <c r="E52" s="4">
        <v>9000</v>
      </c>
      <c r="F52" s="4">
        <v>10224.280000000001</v>
      </c>
      <c r="G52" s="4"/>
      <c r="H52" s="4"/>
      <c r="I52" s="4"/>
      <c r="J52" s="4">
        <f t="shared" si="1"/>
        <v>10224.280000000001</v>
      </c>
      <c r="K52" s="60">
        <v>1250</v>
      </c>
      <c r="L52" s="54">
        <f>9000+1250</f>
        <v>10250</v>
      </c>
      <c r="M52" s="78" t="s">
        <v>227</v>
      </c>
    </row>
    <row r="53" spans="1:13" ht="15" customHeight="1" x14ac:dyDescent="0.45">
      <c r="A53" s="84"/>
      <c r="B53" s="91"/>
      <c r="C53" s="11" t="s">
        <v>200</v>
      </c>
      <c r="D53" s="4"/>
      <c r="E53" s="4"/>
      <c r="F53" s="4"/>
      <c r="G53" s="4"/>
      <c r="H53" s="4"/>
      <c r="I53" s="4">
        <v>750</v>
      </c>
      <c r="J53" s="4">
        <f>I53+H53</f>
        <v>750</v>
      </c>
      <c r="K53" s="60">
        <v>750</v>
      </c>
      <c r="L53" s="54">
        <f>J53</f>
        <v>750</v>
      </c>
      <c r="M53" s="79"/>
    </row>
    <row r="54" spans="1:13" ht="15" customHeight="1" x14ac:dyDescent="0.45">
      <c r="A54" s="9">
        <v>4162</v>
      </c>
      <c r="B54" s="26" t="s">
        <v>69</v>
      </c>
      <c r="C54" s="11" t="s">
        <v>11</v>
      </c>
      <c r="D54" s="4">
        <v>612000</v>
      </c>
      <c r="E54" s="4">
        <v>612000</v>
      </c>
      <c r="F54" s="4">
        <v>417391.63</v>
      </c>
      <c r="G54" s="4"/>
      <c r="H54" s="4"/>
      <c r="I54" s="4">
        <v>26500</v>
      </c>
      <c r="J54" s="4">
        <f t="shared" si="1"/>
        <v>443891.63</v>
      </c>
      <c r="K54" s="60">
        <v>-160000</v>
      </c>
      <c r="L54" s="54">
        <f>612000-160000</f>
        <v>452000</v>
      </c>
      <c r="M54" s="61" t="s">
        <v>221</v>
      </c>
    </row>
    <row r="55" spans="1:13" ht="15" customHeight="1" x14ac:dyDescent="0.45">
      <c r="A55" s="14" t="s">
        <v>70</v>
      </c>
      <c r="B55" s="14" t="s">
        <v>71</v>
      </c>
      <c r="C55" s="11" t="s">
        <v>11</v>
      </c>
      <c r="D55" s="4">
        <v>6600</v>
      </c>
      <c r="E55" s="4">
        <v>6600</v>
      </c>
      <c r="F55" s="4">
        <v>4950</v>
      </c>
      <c r="G55" s="4">
        <v>550</v>
      </c>
      <c r="H55" s="4">
        <v>550</v>
      </c>
      <c r="I55" s="4">
        <v>550</v>
      </c>
      <c r="J55" s="4">
        <f t="shared" si="1"/>
        <v>6600</v>
      </c>
      <c r="K55" s="49"/>
      <c r="L55" s="4">
        <v>6600</v>
      </c>
      <c r="M55" s="61"/>
    </row>
    <row r="56" spans="1:13" ht="15" customHeight="1" x14ac:dyDescent="0.45">
      <c r="A56" s="13">
        <v>41670</v>
      </c>
      <c r="B56" s="11" t="s">
        <v>72</v>
      </c>
      <c r="C56" s="11" t="s">
        <v>11</v>
      </c>
      <c r="D56" s="4">
        <v>4800</v>
      </c>
      <c r="E56" s="4">
        <v>4800</v>
      </c>
      <c r="F56" s="4">
        <v>3200</v>
      </c>
      <c r="G56" s="4">
        <v>800</v>
      </c>
      <c r="H56" s="4"/>
      <c r="I56" s="4">
        <v>800</v>
      </c>
      <c r="J56" s="4">
        <f t="shared" si="1"/>
        <v>4800</v>
      </c>
      <c r="K56" s="49"/>
      <c r="L56" s="4">
        <v>4800</v>
      </c>
      <c r="M56" s="61"/>
    </row>
    <row r="57" spans="1:13" ht="15" customHeight="1" x14ac:dyDescent="0.45">
      <c r="A57" s="13">
        <v>41671</v>
      </c>
      <c r="B57" s="11" t="s">
        <v>73</v>
      </c>
      <c r="C57" s="11" t="s">
        <v>11</v>
      </c>
      <c r="D57" s="4">
        <v>1300</v>
      </c>
      <c r="E57" s="4">
        <v>1300</v>
      </c>
      <c r="F57" s="4">
        <v>568.05999999999995</v>
      </c>
      <c r="G57" s="4"/>
      <c r="H57" s="4"/>
      <c r="I57" s="4">
        <v>60</v>
      </c>
      <c r="J57" s="4">
        <f>F57+G57+H57+I57</f>
        <v>628.05999999999995</v>
      </c>
      <c r="K57" s="49"/>
      <c r="L57" s="4">
        <v>1300</v>
      </c>
      <c r="M57" s="61"/>
    </row>
    <row r="58" spans="1:13" ht="15" customHeight="1" x14ac:dyDescent="0.45">
      <c r="A58" s="19">
        <v>4169</v>
      </c>
      <c r="B58" s="29" t="s">
        <v>74</v>
      </c>
      <c r="C58" s="11" t="s">
        <v>11</v>
      </c>
      <c r="D58" s="4">
        <v>3800</v>
      </c>
      <c r="E58" s="4">
        <v>3800</v>
      </c>
      <c r="F58" s="4">
        <v>2500</v>
      </c>
      <c r="G58" s="4"/>
      <c r="H58" s="4">
        <v>760</v>
      </c>
      <c r="I58" s="4"/>
      <c r="J58" s="4">
        <f t="shared" si="1"/>
        <v>3260</v>
      </c>
      <c r="K58" s="49"/>
      <c r="L58" s="4">
        <v>3800</v>
      </c>
      <c r="M58" s="61"/>
    </row>
    <row r="59" spans="1:13" ht="15" customHeight="1" x14ac:dyDescent="0.45">
      <c r="A59" s="83" t="s">
        <v>75</v>
      </c>
      <c r="B59" s="83" t="s">
        <v>76</v>
      </c>
      <c r="C59" s="14" t="s">
        <v>8</v>
      </c>
      <c r="D59" s="4">
        <v>5800</v>
      </c>
      <c r="E59" s="4">
        <v>5800</v>
      </c>
      <c r="F59" s="4">
        <v>5800</v>
      </c>
      <c r="G59" s="4"/>
      <c r="H59" s="4"/>
      <c r="I59" s="4"/>
      <c r="J59" s="4">
        <f t="shared" si="1"/>
        <v>5800</v>
      </c>
      <c r="K59" s="49"/>
      <c r="L59" s="4">
        <v>5800</v>
      </c>
      <c r="M59" s="61"/>
    </row>
    <row r="60" spans="1:13" ht="15" customHeight="1" x14ac:dyDescent="0.45">
      <c r="A60" s="84"/>
      <c r="B60" s="84"/>
      <c r="C60" s="11" t="s">
        <v>11</v>
      </c>
      <c r="D60" s="4">
        <v>4000</v>
      </c>
      <c r="E60" s="4">
        <v>4000</v>
      </c>
      <c r="F60" s="4">
        <v>2101.1799999999998</v>
      </c>
      <c r="G60" s="4"/>
      <c r="H60" s="4">
        <f>764.83+32.74</f>
        <v>797.57</v>
      </c>
      <c r="I60" s="4">
        <f>764.83+32.74</f>
        <v>797.57</v>
      </c>
      <c r="J60" s="4">
        <f t="shared" si="1"/>
        <v>3696.32</v>
      </c>
      <c r="K60" s="49"/>
      <c r="L60" s="4">
        <v>4000</v>
      </c>
      <c r="M60" s="61"/>
    </row>
    <row r="61" spans="1:13" ht="15" customHeight="1" x14ac:dyDescent="0.45">
      <c r="A61" s="83" t="s">
        <v>77</v>
      </c>
      <c r="B61" s="85" t="s">
        <v>78</v>
      </c>
      <c r="C61" s="14" t="s">
        <v>8</v>
      </c>
      <c r="D61" s="4">
        <v>1400</v>
      </c>
      <c r="E61" s="4">
        <v>1400</v>
      </c>
      <c r="F61" s="4">
        <v>1163.95</v>
      </c>
      <c r="G61" s="4">
        <f>138.09+11</f>
        <v>149.09</v>
      </c>
      <c r="H61" s="4"/>
      <c r="I61" s="4"/>
      <c r="J61" s="4">
        <f t="shared" si="1"/>
        <v>1313.04</v>
      </c>
      <c r="K61" s="49"/>
      <c r="L61" s="4">
        <v>1400</v>
      </c>
      <c r="M61" s="61"/>
    </row>
    <row r="62" spans="1:13" ht="15" customHeight="1" x14ac:dyDescent="0.45">
      <c r="A62" s="84"/>
      <c r="B62" s="86"/>
      <c r="C62" s="11" t="s">
        <v>11</v>
      </c>
      <c r="D62" s="4">
        <v>800</v>
      </c>
      <c r="E62" s="4">
        <v>800</v>
      </c>
      <c r="F62" s="4"/>
      <c r="G62" s="4"/>
      <c r="H62" s="4">
        <f t="shared" ref="H62:I62" si="2">138.09+11</f>
        <v>149.09</v>
      </c>
      <c r="I62" s="4">
        <f t="shared" si="2"/>
        <v>149.09</v>
      </c>
      <c r="J62" s="4">
        <f t="shared" si="1"/>
        <v>298.18</v>
      </c>
      <c r="K62" s="49"/>
      <c r="L62" s="4">
        <v>800</v>
      </c>
      <c r="M62" s="61"/>
    </row>
    <row r="63" spans="1:13" ht="15" customHeight="1" x14ac:dyDescent="0.45">
      <c r="A63" s="83" t="s">
        <v>79</v>
      </c>
      <c r="B63" s="83" t="s">
        <v>80</v>
      </c>
      <c r="C63" s="14" t="s">
        <v>8</v>
      </c>
      <c r="D63" s="4">
        <v>800</v>
      </c>
      <c r="E63" s="4">
        <v>800</v>
      </c>
      <c r="F63" s="4">
        <v>687.84</v>
      </c>
      <c r="G63" s="4">
        <v>70</v>
      </c>
      <c r="H63" s="4"/>
      <c r="I63" s="4"/>
      <c r="J63" s="4">
        <f t="shared" si="1"/>
        <v>757.84</v>
      </c>
      <c r="K63" s="49"/>
      <c r="L63" s="4">
        <v>800</v>
      </c>
      <c r="M63" s="61"/>
    </row>
    <row r="64" spans="1:13" ht="15" customHeight="1" x14ac:dyDescent="0.45">
      <c r="A64" s="84"/>
      <c r="B64" s="84"/>
      <c r="C64" s="11" t="s">
        <v>11</v>
      </c>
      <c r="D64" s="4">
        <v>500</v>
      </c>
      <c r="E64" s="4">
        <v>500</v>
      </c>
      <c r="F64" s="4"/>
      <c r="G64" s="4"/>
      <c r="H64" s="4">
        <v>70</v>
      </c>
      <c r="I64" s="4">
        <v>70</v>
      </c>
      <c r="J64" s="4">
        <f t="shared" si="1"/>
        <v>140</v>
      </c>
      <c r="K64" s="49"/>
      <c r="L64" s="4">
        <v>500</v>
      </c>
      <c r="M64" s="61"/>
    </row>
    <row r="65" spans="1:13" ht="30" customHeight="1" x14ac:dyDescent="0.45">
      <c r="A65" s="30" t="s">
        <v>81</v>
      </c>
      <c r="B65" s="26" t="s">
        <v>82</v>
      </c>
      <c r="C65" s="10" t="s">
        <v>8</v>
      </c>
      <c r="D65" s="25">
        <v>6350</v>
      </c>
      <c r="E65" s="25">
        <v>6350</v>
      </c>
      <c r="F65" s="25">
        <v>3528</v>
      </c>
      <c r="G65" s="25">
        <v>250</v>
      </c>
      <c r="H65" s="25"/>
      <c r="I65" s="25">
        <v>2500</v>
      </c>
      <c r="J65" s="25">
        <f t="shared" si="1"/>
        <v>6278</v>
      </c>
      <c r="K65" s="49"/>
      <c r="L65" s="25">
        <v>6350</v>
      </c>
      <c r="M65" s="61"/>
    </row>
    <row r="66" spans="1:13" ht="15" customHeight="1" x14ac:dyDescent="0.45">
      <c r="A66" s="13">
        <v>4175</v>
      </c>
      <c r="B66" s="31" t="s">
        <v>83</v>
      </c>
      <c r="C66" s="11" t="s">
        <v>11</v>
      </c>
      <c r="D66" s="4">
        <v>200</v>
      </c>
      <c r="E66" s="4">
        <v>200</v>
      </c>
      <c r="F66" s="4">
        <v>0</v>
      </c>
      <c r="G66" s="4"/>
      <c r="H66" s="4"/>
      <c r="I66" s="4"/>
      <c r="J66" s="4">
        <f t="shared" si="1"/>
        <v>0</v>
      </c>
      <c r="K66" s="49"/>
      <c r="L66" s="4">
        <v>200</v>
      </c>
      <c r="M66" s="61"/>
    </row>
    <row r="67" spans="1:13" ht="15" customHeight="1" x14ac:dyDescent="0.45">
      <c r="A67" s="14" t="s">
        <v>84</v>
      </c>
      <c r="B67" s="14" t="s">
        <v>85</v>
      </c>
      <c r="C67" s="10" t="s">
        <v>8</v>
      </c>
      <c r="D67" s="4">
        <v>400</v>
      </c>
      <c r="E67" s="4">
        <v>400</v>
      </c>
      <c r="F67" s="4">
        <v>150.38</v>
      </c>
      <c r="G67" s="4"/>
      <c r="H67" s="4"/>
      <c r="I67" s="4">
        <v>150.38</v>
      </c>
      <c r="J67" s="4">
        <f t="shared" si="1"/>
        <v>300.76</v>
      </c>
      <c r="K67" s="49"/>
      <c r="L67" s="4">
        <v>400</v>
      </c>
      <c r="M67" s="61"/>
    </row>
    <row r="68" spans="1:13" ht="15" customHeight="1" x14ac:dyDescent="0.45">
      <c r="A68" s="14" t="s">
        <v>86</v>
      </c>
      <c r="B68" s="11" t="s">
        <v>87</v>
      </c>
      <c r="C68" s="10" t="s">
        <v>8</v>
      </c>
      <c r="D68" s="4">
        <v>3700</v>
      </c>
      <c r="E68" s="4">
        <v>3700</v>
      </c>
      <c r="F68" s="4">
        <f>189.6+2213.6</f>
        <v>2403.1999999999998</v>
      </c>
      <c r="G68" s="4"/>
      <c r="H68" s="4"/>
      <c r="I68" s="4"/>
      <c r="J68" s="4">
        <f t="shared" si="1"/>
        <v>2403.1999999999998</v>
      </c>
      <c r="K68" s="49"/>
      <c r="L68" s="4">
        <v>3700</v>
      </c>
      <c r="M68" s="61"/>
    </row>
    <row r="69" spans="1:13" ht="15" customHeight="1" x14ac:dyDescent="0.45">
      <c r="A69" s="94" t="s">
        <v>88</v>
      </c>
      <c r="B69" s="13" t="s">
        <v>89</v>
      </c>
      <c r="C69" s="18" t="s">
        <v>11</v>
      </c>
      <c r="D69" s="49">
        <v>6000</v>
      </c>
      <c r="E69" s="49">
        <v>11000</v>
      </c>
      <c r="F69" s="49">
        <v>9541.27</v>
      </c>
      <c r="G69" s="49"/>
      <c r="H69" s="49"/>
      <c r="I69" s="49">
        <f>800+2000</f>
        <v>2800</v>
      </c>
      <c r="J69" s="4">
        <f>F69+G69+H69+I69</f>
        <v>12341.27</v>
      </c>
      <c r="K69" s="60">
        <v>2000</v>
      </c>
      <c r="L69" s="60">
        <f>6000+5000+2000</f>
        <v>13000</v>
      </c>
      <c r="M69" s="61" t="s">
        <v>228</v>
      </c>
    </row>
    <row r="70" spans="1:13" ht="30.75" customHeight="1" x14ac:dyDescent="0.45">
      <c r="A70" s="95"/>
      <c r="B70" s="9" t="s">
        <v>90</v>
      </c>
      <c r="C70" s="71" t="s">
        <v>91</v>
      </c>
      <c r="D70" s="33">
        <v>1000</v>
      </c>
      <c r="E70" s="33">
        <v>1000</v>
      </c>
      <c r="F70" s="33">
        <v>473.36</v>
      </c>
      <c r="G70" s="33"/>
      <c r="H70" s="33"/>
      <c r="I70" s="33">
        <v>500</v>
      </c>
      <c r="J70" s="25">
        <f t="shared" si="1"/>
        <v>973.36</v>
      </c>
      <c r="K70" s="49"/>
      <c r="L70" s="33">
        <v>1000</v>
      </c>
      <c r="M70" s="61"/>
    </row>
    <row r="71" spans="1:13" ht="15" customHeight="1" x14ac:dyDescent="0.45">
      <c r="A71" s="95"/>
      <c r="B71" s="13" t="s">
        <v>92</v>
      </c>
      <c r="C71" s="18" t="s">
        <v>11</v>
      </c>
      <c r="D71" s="49">
        <v>1000</v>
      </c>
      <c r="E71" s="49">
        <v>2500</v>
      </c>
      <c r="F71" s="49">
        <v>1110</v>
      </c>
      <c r="G71" s="49"/>
      <c r="H71" s="49"/>
      <c r="I71" s="49"/>
      <c r="J71" s="4">
        <f t="shared" si="1"/>
        <v>1110</v>
      </c>
      <c r="K71" s="49"/>
      <c r="L71" s="49">
        <f>1000+1500</f>
        <v>2500</v>
      </c>
      <c r="M71" s="61"/>
    </row>
    <row r="72" spans="1:13" x14ac:dyDescent="0.45">
      <c r="A72" s="95"/>
      <c r="B72" s="13" t="s">
        <v>93</v>
      </c>
      <c r="C72" s="18" t="s">
        <v>11</v>
      </c>
      <c r="D72" s="49">
        <v>4500</v>
      </c>
      <c r="E72" s="49">
        <v>4500</v>
      </c>
      <c r="F72" s="49">
        <v>4500</v>
      </c>
      <c r="G72" s="49"/>
      <c r="H72" s="49"/>
      <c r="I72" s="49"/>
      <c r="J72" s="4">
        <f>F72+G72+H72+I72</f>
        <v>4500</v>
      </c>
      <c r="K72" s="49"/>
      <c r="L72" s="49">
        <v>4500</v>
      </c>
      <c r="M72" s="61"/>
    </row>
    <row r="73" spans="1:13" x14ac:dyDescent="0.45">
      <c r="A73" s="95"/>
      <c r="B73" s="9" t="s">
        <v>94</v>
      </c>
      <c r="C73" s="27" t="s">
        <v>39</v>
      </c>
      <c r="D73" s="33">
        <v>9000</v>
      </c>
      <c r="E73" s="33">
        <v>9000</v>
      </c>
      <c r="F73" s="33">
        <v>9000</v>
      </c>
      <c r="G73" s="33"/>
      <c r="H73" s="33"/>
      <c r="I73" s="33"/>
      <c r="J73" s="4">
        <f t="shared" si="1"/>
        <v>9000</v>
      </c>
      <c r="K73" s="49"/>
      <c r="L73" s="33">
        <v>9000</v>
      </c>
      <c r="M73" s="61"/>
    </row>
    <row r="74" spans="1:13" x14ac:dyDescent="0.45">
      <c r="A74" s="96"/>
      <c r="B74" s="13" t="s">
        <v>95</v>
      </c>
      <c r="C74" s="18" t="s">
        <v>11</v>
      </c>
      <c r="D74" s="49">
        <v>3000</v>
      </c>
      <c r="E74" s="49">
        <v>3000</v>
      </c>
      <c r="F74" s="49">
        <v>760</v>
      </c>
      <c r="G74" s="49"/>
      <c r="H74" s="49"/>
      <c r="I74" s="49"/>
      <c r="J74" s="4">
        <f t="shared" si="1"/>
        <v>760</v>
      </c>
      <c r="K74" s="49"/>
      <c r="L74" s="49">
        <v>3000</v>
      </c>
      <c r="M74" s="61"/>
    </row>
    <row r="75" spans="1:13" x14ac:dyDescent="0.45">
      <c r="A75" s="14" t="s">
        <v>96</v>
      </c>
      <c r="B75" s="14" t="s">
        <v>97</v>
      </c>
      <c r="C75" s="11" t="s">
        <v>11</v>
      </c>
      <c r="D75" s="4">
        <v>300</v>
      </c>
      <c r="E75" s="4">
        <v>300</v>
      </c>
      <c r="F75" s="4">
        <v>236.36</v>
      </c>
      <c r="G75" s="4"/>
      <c r="H75" s="4"/>
      <c r="I75" s="4"/>
      <c r="J75" s="4">
        <f t="shared" si="1"/>
        <v>236.36</v>
      </c>
      <c r="K75" s="49"/>
      <c r="L75" s="4">
        <v>300</v>
      </c>
      <c r="M75" s="61"/>
    </row>
    <row r="76" spans="1:13" ht="51.75" customHeight="1" x14ac:dyDescent="0.45">
      <c r="A76" s="17">
        <v>4199</v>
      </c>
      <c r="B76" s="32" t="s">
        <v>98</v>
      </c>
      <c r="C76" s="10" t="s">
        <v>11</v>
      </c>
      <c r="D76" s="33">
        <f>4000-2000</f>
        <v>2000</v>
      </c>
      <c r="E76" s="33">
        <v>2000</v>
      </c>
      <c r="F76" s="33">
        <v>381.5</v>
      </c>
      <c r="G76" s="33"/>
      <c r="H76" s="33"/>
      <c r="I76" s="33">
        <v>750</v>
      </c>
      <c r="J76" s="25">
        <f t="shared" si="1"/>
        <v>1131.5</v>
      </c>
      <c r="K76" s="59">
        <v>-800</v>
      </c>
      <c r="L76" s="59">
        <f>4000-2000-800</f>
        <v>1200</v>
      </c>
      <c r="M76" s="62" t="s">
        <v>229</v>
      </c>
    </row>
    <row r="77" spans="1:13" x14ac:dyDescent="0.45">
      <c r="A77" s="34">
        <v>42</v>
      </c>
      <c r="B77" s="35" t="s">
        <v>12</v>
      </c>
      <c r="C77" s="35"/>
      <c r="D77" s="6">
        <f>SUM(D78:D83)</f>
        <v>371138.46</v>
      </c>
      <c r="E77" s="6">
        <v>371138.46</v>
      </c>
      <c r="F77" s="6">
        <f>SUM(F78:F83)</f>
        <v>198973.48</v>
      </c>
      <c r="G77" s="6"/>
      <c r="H77" s="6"/>
      <c r="I77" s="6"/>
      <c r="J77" s="6">
        <f>SUM(J78:J83)</f>
        <v>285181.59999999998</v>
      </c>
      <c r="K77" s="6">
        <f>SUM(K78:K83)</f>
        <v>-84000</v>
      </c>
      <c r="L77" s="6">
        <f>SUM(L78:L83)</f>
        <v>287138.46000000002</v>
      </c>
      <c r="M77" s="50"/>
    </row>
    <row r="78" spans="1:13" x14ac:dyDescent="0.45">
      <c r="A78" s="87"/>
      <c r="B78" s="87" t="s">
        <v>12</v>
      </c>
      <c r="C78" s="11" t="s">
        <v>39</v>
      </c>
      <c r="D78" s="4">
        <v>68275</v>
      </c>
      <c r="E78" s="4">
        <v>68275</v>
      </c>
      <c r="F78" s="4">
        <v>35466.879999999997</v>
      </c>
      <c r="G78" s="4">
        <f>10000-1800</f>
        <v>8200</v>
      </c>
      <c r="H78" s="4">
        <f>10000-1800</f>
        <v>8200</v>
      </c>
      <c r="I78" s="4">
        <f>13000-1800</f>
        <v>11200</v>
      </c>
      <c r="J78" s="4">
        <f>F78+G78+H78+I78+5208.12</f>
        <v>68275</v>
      </c>
      <c r="K78" s="49"/>
      <c r="L78" s="4">
        <v>68275</v>
      </c>
      <c r="M78" s="78" t="s">
        <v>230</v>
      </c>
    </row>
    <row r="79" spans="1:13" x14ac:dyDescent="0.45">
      <c r="A79" s="87"/>
      <c r="B79" s="87"/>
      <c r="C79" s="11" t="s">
        <v>99</v>
      </c>
      <c r="D79" s="25">
        <v>24425.95</v>
      </c>
      <c r="E79" s="25">
        <v>24425.95</v>
      </c>
      <c r="F79" s="25">
        <f>71.19+5000</f>
        <v>5071.1899999999996</v>
      </c>
      <c r="G79" s="25"/>
      <c r="H79" s="25"/>
      <c r="I79" s="25"/>
      <c r="J79" s="4">
        <f t="shared" ref="J79:J83" si="3">F79+G79+H79+I79</f>
        <v>5071.1899999999996</v>
      </c>
      <c r="K79" s="60">
        <v>-19000</v>
      </c>
      <c r="L79" s="57">
        <f>24425.95-19000</f>
        <v>5425.9500000000007</v>
      </c>
      <c r="M79" s="80"/>
    </row>
    <row r="80" spans="1:13" x14ac:dyDescent="0.45">
      <c r="A80" s="87"/>
      <c r="B80" s="87"/>
      <c r="C80" s="11" t="s">
        <v>8</v>
      </c>
      <c r="D80" s="4">
        <v>90330</v>
      </c>
      <c r="E80" s="4">
        <v>90330</v>
      </c>
      <c r="F80" s="4">
        <f>58771.41+3658.59</f>
        <v>62430</v>
      </c>
      <c r="G80" s="4">
        <f>9000-1200</f>
        <v>7800</v>
      </c>
      <c r="H80" s="4">
        <f>9000+4500-1200</f>
        <v>12300</v>
      </c>
      <c r="I80" s="4">
        <f>9000-1200</f>
        <v>7800</v>
      </c>
      <c r="J80" s="4">
        <f t="shared" si="3"/>
        <v>90330</v>
      </c>
      <c r="K80" s="49"/>
      <c r="L80" s="4">
        <v>90330</v>
      </c>
      <c r="M80" s="80"/>
    </row>
    <row r="81" spans="1:13" x14ac:dyDescent="0.45">
      <c r="A81" s="87"/>
      <c r="B81" s="87"/>
      <c r="C81" s="11" t="s">
        <v>11</v>
      </c>
      <c r="D81" s="4">
        <v>167708.51</v>
      </c>
      <c r="E81" s="4">
        <v>157458.51</v>
      </c>
      <c r="F81" s="4">
        <f>96575.59-71.19-5208.12-3658.59+1108.12-5000</f>
        <v>83745.81</v>
      </c>
      <c r="G81" s="4">
        <f>3850-2000+4100</f>
        <v>5950</v>
      </c>
      <c r="H81" s="4">
        <f>7950-4500-2000-1200</f>
        <v>250</v>
      </c>
      <c r="I81" s="4">
        <f>7950-3000-2000-1200</f>
        <v>1750</v>
      </c>
      <c r="J81" s="4">
        <f t="shared" si="3"/>
        <v>91695.81</v>
      </c>
      <c r="K81" s="65">
        <v>-65000</v>
      </c>
      <c r="L81" s="54">
        <f>167708.51-10250-65000</f>
        <v>92458.510000000009</v>
      </c>
      <c r="M81" s="80"/>
    </row>
    <row r="82" spans="1:13" x14ac:dyDescent="0.45">
      <c r="A82" s="87"/>
      <c r="B82" s="87"/>
      <c r="C82" s="11" t="s">
        <v>200</v>
      </c>
      <c r="D82" s="4">
        <v>0</v>
      </c>
      <c r="E82" s="4">
        <v>10250</v>
      </c>
      <c r="F82" s="4">
        <v>4100</v>
      </c>
      <c r="G82" s="4">
        <v>2050</v>
      </c>
      <c r="H82" s="4">
        <v>2050</v>
      </c>
      <c r="I82" s="4">
        <v>2050</v>
      </c>
      <c r="J82" s="4">
        <f>F82+G82+H82+I82</f>
        <v>10250</v>
      </c>
      <c r="K82" s="66"/>
      <c r="L82" s="4">
        <v>10250</v>
      </c>
      <c r="M82" s="80"/>
    </row>
    <row r="83" spans="1:13" x14ac:dyDescent="0.45">
      <c r="A83" s="87"/>
      <c r="B83" s="87"/>
      <c r="C83" s="11" t="s">
        <v>35</v>
      </c>
      <c r="D83" s="4">
        <v>20399</v>
      </c>
      <c r="E83" s="4">
        <v>20399</v>
      </c>
      <c r="F83" s="4">
        <v>8159.6</v>
      </c>
      <c r="G83" s="4">
        <v>3000</v>
      </c>
      <c r="H83" s="4">
        <f>3000+1200</f>
        <v>4200</v>
      </c>
      <c r="I83" s="4">
        <f>3000+1200</f>
        <v>4200</v>
      </c>
      <c r="J83" s="4">
        <f t="shared" si="3"/>
        <v>19559.599999999999</v>
      </c>
      <c r="K83" s="49"/>
      <c r="L83" s="4">
        <v>20399</v>
      </c>
      <c r="M83" s="79"/>
    </row>
    <row r="84" spans="1:13" x14ac:dyDescent="0.45">
      <c r="A84" s="5" t="s">
        <v>100</v>
      </c>
      <c r="B84" s="5" t="s">
        <v>14</v>
      </c>
      <c r="C84" s="5"/>
      <c r="D84" s="6">
        <f>D85+D87+D86</f>
        <v>18800</v>
      </c>
      <c r="E84" s="6">
        <v>32000</v>
      </c>
      <c r="F84" s="6">
        <f>F85+F87+F86</f>
        <v>31433.05</v>
      </c>
      <c r="G84" s="6"/>
      <c r="H84" s="6"/>
      <c r="I84" s="6"/>
      <c r="J84" s="6">
        <f>J85+J87+J86</f>
        <v>31433.05</v>
      </c>
      <c r="K84" s="6">
        <f>K85+K87+K86</f>
        <v>0</v>
      </c>
      <c r="L84" s="6">
        <f>L85+L87+L86</f>
        <v>32000</v>
      </c>
      <c r="M84" s="50"/>
    </row>
    <row r="85" spans="1:13" x14ac:dyDescent="0.45">
      <c r="A85" s="13">
        <v>43</v>
      </c>
      <c r="B85" s="14" t="s">
        <v>101</v>
      </c>
      <c r="C85" s="11" t="s">
        <v>11</v>
      </c>
      <c r="D85" s="4">
        <v>13250</v>
      </c>
      <c r="E85" s="4">
        <v>15150</v>
      </c>
      <c r="F85" s="4">
        <v>14587.24</v>
      </c>
      <c r="G85" s="4"/>
      <c r="H85" s="4"/>
      <c r="I85" s="4"/>
      <c r="J85" s="4">
        <v>14587.24</v>
      </c>
      <c r="K85" s="25"/>
      <c r="L85" s="4">
        <f>13250+1900</f>
        <v>15150</v>
      </c>
      <c r="M85" s="62"/>
    </row>
    <row r="86" spans="1:13" x14ac:dyDescent="0.45">
      <c r="A86" s="13">
        <v>43</v>
      </c>
      <c r="B86" s="14" t="s">
        <v>102</v>
      </c>
      <c r="C86" s="11" t="s">
        <v>39</v>
      </c>
      <c r="D86" s="4">
        <v>5550</v>
      </c>
      <c r="E86" s="4">
        <v>13550</v>
      </c>
      <c r="F86" s="4">
        <v>13550</v>
      </c>
      <c r="G86" s="4"/>
      <c r="H86" s="4"/>
      <c r="I86" s="4"/>
      <c r="J86" s="4">
        <v>13550</v>
      </c>
      <c r="K86" s="25"/>
      <c r="L86" s="4">
        <f>5550+8000</f>
        <v>13550</v>
      </c>
      <c r="M86" s="62"/>
    </row>
    <row r="87" spans="1:13" x14ac:dyDescent="0.45">
      <c r="A87" s="13">
        <v>43</v>
      </c>
      <c r="B87" s="14" t="s">
        <v>103</v>
      </c>
      <c r="C87" s="11" t="s">
        <v>39</v>
      </c>
      <c r="D87" s="4">
        <v>0</v>
      </c>
      <c r="E87" s="4">
        <v>3300</v>
      </c>
      <c r="F87" s="4">
        <v>3295.81</v>
      </c>
      <c r="G87" s="4"/>
      <c r="H87" s="4"/>
      <c r="I87" s="4"/>
      <c r="J87" s="4">
        <v>3295.81</v>
      </c>
      <c r="K87" s="25"/>
      <c r="L87" s="4">
        <f>3300</f>
        <v>3300</v>
      </c>
      <c r="M87" s="62"/>
    </row>
    <row r="88" spans="1:13" x14ac:dyDescent="0.45">
      <c r="A88" s="5" t="s">
        <v>104</v>
      </c>
      <c r="B88" s="5" t="s">
        <v>105</v>
      </c>
      <c r="C88" s="5"/>
      <c r="D88" s="36">
        <f>SUM(D89)</f>
        <v>5000</v>
      </c>
      <c r="E88" s="36">
        <v>5000</v>
      </c>
      <c r="F88" s="36">
        <f>SUM(F89)</f>
        <v>0</v>
      </c>
      <c r="G88" s="36"/>
      <c r="H88" s="36"/>
      <c r="I88" s="36"/>
      <c r="J88" s="36">
        <f>SUM(J89)</f>
        <v>2500</v>
      </c>
      <c r="K88" s="67">
        <f>SUM(K89)</f>
        <v>0</v>
      </c>
      <c r="L88" s="36">
        <f>SUM(L89)</f>
        <v>5000</v>
      </c>
      <c r="M88" s="51"/>
    </row>
    <row r="89" spans="1:13" x14ac:dyDescent="0.45">
      <c r="A89" s="9">
        <v>4452</v>
      </c>
      <c r="B89" s="37" t="s">
        <v>106</v>
      </c>
      <c r="C89" s="10" t="s">
        <v>11</v>
      </c>
      <c r="D89" s="4">
        <v>5000</v>
      </c>
      <c r="E89" s="4">
        <v>5000</v>
      </c>
      <c r="F89" s="4">
        <v>0</v>
      </c>
      <c r="G89" s="4"/>
      <c r="H89" s="4"/>
      <c r="I89" s="4">
        <v>2500</v>
      </c>
      <c r="J89" s="4">
        <f>I89</f>
        <v>2500</v>
      </c>
      <c r="K89" s="49"/>
      <c r="L89" s="4">
        <v>5000</v>
      </c>
      <c r="M89" s="61"/>
    </row>
    <row r="90" spans="1:13" x14ac:dyDescent="0.45">
      <c r="A90" s="34">
        <v>45</v>
      </c>
      <c r="B90" s="5" t="s">
        <v>207</v>
      </c>
      <c r="C90" s="5"/>
      <c r="D90" s="36">
        <f>D91</f>
        <v>0</v>
      </c>
      <c r="E90" s="36">
        <v>5000</v>
      </c>
      <c r="F90" s="36">
        <f>F91</f>
        <v>0</v>
      </c>
      <c r="G90" s="36"/>
      <c r="H90" s="36"/>
      <c r="I90" s="36"/>
      <c r="J90" s="36">
        <f>J91</f>
        <v>5000</v>
      </c>
      <c r="K90" s="67">
        <f>K91</f>
        <v>0</v>
      </c>
      <c r="L90" s="36">
        <f>L91</f>
        <v>5000</v>
      </c>
      <c r="M90" s="51"/>
    </row>
    <row r="91" spans="1:13" x14ac:dyDescent="0.45">
      <c r="A91" s="9">
        <v>45002</v>
      </c>
      <c r="B91" s="37" t="s">
        <v>206</v>
      </c>
      <c r="C91" s="10" t="s">
        <v>11</v>
      </c>
      <c r="D91" s="4">
        <v>0</v>
      </c>
      <c r="E91" s="4">
        <v>5000</v>
      </c>
      <c r="F91" s="4"/>
      <c r="G91" s="4"/>
      <c r="H91" s="4"/>
      <c r="I91" s="4">
        <v>5000</v>
      </c>
      <c r="J91" s="4">
        <v>5000</v>
      </c>
      <c r="K91" s="49"/>
      <c r="L91" s="4">
        <v>5000</v>
      </c>
      <c r="M91" s="61"/>
    </row>
    <row r="92" spans="1:13" x14ac:dyDescent="0.45">
      <c r="A92" s="5" t="s">
        <v>107</v>
      </c>
      <c r="B92" s="5" t="s">
        <v>16</v>
      </c>
      <c r="C92" s="5"/>
      <c r="D92" s="36">
        <f>SUM(D93:D120)</f>
        <v>105165</v>
      </c>
      <c r="E92" s="36">
        <v>105165</v>
      </c>
      <c r="F92" s="36">
        <f>SUM(F93:F120)</f>
        <v>58152.579999999994</v>
      </c>
      <c r="G92" s="36"/>
      <c r="H92" s="36"/>
      <c r="I92" s="36"/>
      <c r="J92" s="36">
        <f>SUM(J93:J120)</f>
        <v>79437.510000000009</v>
      </c>
      <c r="K92" s="67">
        <f>SUM(K93:K120)</f>
        <v>-12620</v>
      </c>
      <c r="L92" s="36">
        <f>SUM(L93:L120)</f>
        <v>92545</v>
      </c>
      <c r="M92" s="51"/>
    </row>
    <row r="93" spans="1:13" ht="15" customHeight="1" x14ac:dyDescent="0.45">
      <c r="A93" s="94" t="s">
        <v>108</v>
      </c>
      <c r="B93" s="94" t="s">
        <v>109</v>
      </c>
      <c r="C93" s="10" t="s">
        <v>11</v>
      </c>
      <c r="D93" s="4">
        <v>17000</v>
      </c>
      <c r="E93" s="4">
        <v>17000</v>
      </c>
      <c r="F93" s="4">
        <v>8860.86</v>
      </c>
      <c r="G93" s="4">
        <f>240+140+270+270+150+2065.68</f>
        <v>3135.68</v>
      </c>
      <c r="H93" s="4">
        <f>270+360+360+130+2500+500+240</f>
        <v>4360</v>
      </c>
      <c r="I93" s="4">
        <v>100</v>
      </c>
      <c r="J93" s="4">
        <f>F93+G93+H93+I93</f>
        <v>16456.54</v>
      </c>
      <c r="K93" s="49"/>
      <c r="L93" s="4">
        <v>17000</v>
      </c>
      <c r="M93" s="61"/>
    </row>
    <row r="94" spans="1:13" ht="15" customHeight="1" x14ac:dyDescent="0.45">
      <c r="A94" s="95"/>
      <c r="B94" s="95"/>
      <c r="C94" s="11" t="s">
        <v>44</v>
      </c>
      <c r="D94" s="4">
        <v>2000</v>
      </c>
      <c r="E94" s="4">
        <v>2000</v>
      </c>
      <c r="F94" s="4">
        <v>0</v>
      </c>
      <c r="G94" s="4"/>
      <c r="H94" s="4"/>
      <c r="I94" s="4"/>
      <c r="J94" s="4">
        <f t="shared" ref="J94:J120" si="4">F94+G94+H94+I94</f>
        <v>0</v>
      </c>
      <c r="K94" s="49"/>
      <c r="L94" s="4">
        <v>2000</v>
      </c>
      <c r="M94" s="61"/>
    </row>
    <row r="95" spans="1:13" x14ac:dyDescent="0.45">
      <c r="A95" s="83" t="s">
        <v>110</v>
      </c>
      <c r="B95" s="83" t="s">
        <v>111</v>
      </c>
      <c r="C95" s="11" t="s">
        <v>39</v>
      </c>
      <c r="D95" s="4">
        <v>2085</v>
      </c>
      <c r="E95" s="4">
        <v>2085</v>
      </c>
      <c r="F95" s="4">
        <f>1010.61+352.19</f>
        <v>1362.8</v>
      </c>
      <c r="G95" s="4">
        <v>220.61</v>
      </c>
      <c r="H95" s="4">
        <v>220.61</v>
      </c>
      <c r="I95" s="4">
        <v>220.61</v>
      </c>
      <c r="J95" s="4">
        <f t="shared" si="4"/>
        <v>2024.63</v>
      </c>
      <c r="K95" s="49"/>
      <c r="L95" s="4">
        <v>2085</v>
      </c>
      <c r="M95" s="61"/>
    </row>
    <row r="96" spans="1:13" x14ac:dyDescent="0.45">
      <c r="A96" s="92"/>
      <c r="B96" s="92"/>
      <c r="C96" s="11" t="s">
        <v>8</v>
      </c>
      <c r="D96" s="4">
        <v>4150</v>
      </c>
      <c r="E96" s="4">
        <v>4150</v>
      </c>
      <c r="F96" s="4">
        <v>2750.76</v>
      </c>
      <c r="G96" s="4">
        <v>398.28</v>
      </c>
      <c r="H96" s="4">
        <v>398.28</v>
      </c>
      <c r="I96" s="4">
        <v>398.28</v>
      </c>
      <c r="J96" s="4">
        <f t="shared" si="4"/>
        <v>3945.5999999999995</v>
      </c>
      <c r="K96" s="49"/>
      <c r="L96" s="4">
        <v>4150</v>
      </c>
      <c r="M96" s="61"/>
    </row>
    <row r="97" spans="1:13" x14ac:dyDescent="0.45">
      <c r="A97" s="92"/>
      <c r="B97" s="92"/>
      <c r="C97" s="29" t="s">
        <v>11</v>
      </c>
      <c r="D97" s="4">
        <v>8492</v>
      </c>
      <c r="E97" s="4">
        <v>8492</v>
      </c>
      <c r="F97" s="4">
        <f>2872.53-352.19</f>
        <v>2520.34</v>
      </c>
      <c r="G97" s="4">
        <v>349.27</v>
      </c>
      <c r="H97" s="4">
        <v>349.27</v>
      </c>
      <c r="I97" s="4">
        <v>349.27</v>
      </c>
      <c r="J97" s="4">
        <f t="shared" si="4"/>
        <v>3568.15</v>
      </c>
      <c r="K97" s="60">
        <v>-4000</v>
      </c>
      <c r="L97" s="54">
        <f>8492-4000</f>
        <v>4492</v>
      </c>
      <c r="M97" s="61" t="s">
        <v>231</v>
      </c>
    </row>
    <row r="98" spans="1:13" x14ac:dyDescent="0.45">
      <c r="A98" s="14" t="s">
        <v>112</v>
      </c>
      <c r="B98" s="14" t="s">
        <v>113</v>
      </c>
      <c r="C98" s="11" t="s">
        <v>11</v>
      </c>
      <c r="D98" s="4">
        <v>3600</v>
      </c>
      <c r="E98" s="4">
        <v>3600</v>
      </c>
      <c r="F98" s="4">
        <v>500</v>
      </c>
      <c r="G98" s="4"/>
      <c r="H98" s="4"/>
      <c r="I98" s="4">
        <v>1680</v>
      </c>
      <c r="J98" s="4">
        <f t="shared" si="4"/>
        <v>2180</v>
      </c>
      <c r="K98" s="60">
        <v>-1420</v>
      </c>
      <c r="L98" s="54">
        <f>3600-1420</f>
        <v>2180</v>
      </c>
      <c r="M98" s="61" t="s">
        <v>232</v>
      </c>
    </row>
    <row r="99" spans="1:13" x14ac:dyDescent="0.45">
      <c r="A99" s="30" t="s">
        <v>114</v>
      </c>
      <c r="B99" s="37" t="s">
        <v>115</v>
      </c>
      <c r="C99" s="10" t="s">
        <v>11</v>
      </c>
      <c r="D99" s="4">
        <v>8400</v>
      </c>
      <c r="E99" s="4">
        <v>8400</v>
      </c>
      <c r="F99" s="4">
        <v>5335.03</v>
      </c>
      <c r="G99" s="4"/>
      <c r="H99" s="4"/>
      <c r="I99" s="4">
        <v>1800</v>
      </c>
      <c r="J99" s="4">
        <f t="shared" si="4"/>
        <v>7135.03</v>
      </c>
      <c r="K99" s="60">
        <v>-1200</v>
      </c>
      <c r="L99" s="54">
        <f>8400-1200</f>
        <v>7200</v>
      </c>
      <c r="M99" s="61" t="s">
        <v>233</v>
      </c>
    </row>
    <row r="100" spans="1:13" x14ac:dyDescent="0.45">
      <c r="A100" s="9">
        <v>4617</v>
      </c>
      <c r="B100" s="37" t="s">
        <v>116</v>
      </c>
      <c r="C100" s="11" t="s">
        <v>11</v>
      </c>
      <c r="D100" s="4">
        <v>400</v>
      </c>
      <c r="E100" s="4">
        <v>400</v>
      </c>
      <c r="F100" s="4">
        <v>0</v>
      </c>
      <c r="G100" s="4"/>
      <c r="H100" s="4"/>
      <c r="I100" s="4"/>
      <c r="J100" s="4">
        <f t="shared" si="4"/>
        <v>0</v>
      </c>
      <c r="K100" s="49"/>
      <c r="L100" s="4">
        <v>400</v>
      </c>
      <c r="M100" s="61"/>
    </row>
    <row r="101" spans="1:13" x14ac:dyDescent="0.45">
      <c r="A101" s="94">
        <v>4618</v>
      </c>
      <c r="B101" s="83" t="s">
        <v>117</v>
      </c>
      <c r="C101" s="11" t="s">
        <v>39</v>
      </c>
      <c r="D101" s="4">
        <v>2500</v>
      </c>
      <c r="E101" s="4">
        <v>2500</v>
      </c>
      <c r="F101" s="4">
        <v>1600</v>
      </c>
      <c r="G101" s="4">
        <v>300</v>
      </c>
      <c r="H101" s="4">
        <v>300</v>
      </c>
      <c r="I101" s="4">
        <v>300</v>
      </c>
      <c r="J101" s="4">
        <f t="shared" si="4"/>
        <v>2500</v>
      </c>
      <c r="K101" s="49"/>
      <c r="L101" s="4">
        <v>2500</v>
      </c>
      <c r="M101" s="61"/>
    </row>
    <row r="102" spans="1:13" x14ac:dyDescent="0.45">
      <c r="A102" s="95"/>
      <c r="B102" s="92"/>
      <c r="C102" s="11" t="s">
        <v>8</v>
      </c>
      <c r="D102" s="4">
        <v>3600</v>
      </c>
      <c r="E102" s="4">
        <v>3600</v>
      </c>
      <c r="F102" s="4">
        <v>2700</v>
      </c>
      <c r="G102" s="4">
        <v>300</v>
      </c>
      <c r="H102" s="4">
        <v>300</v>
      </c>
      <c r="I102" s="4">
        <v>300</v>
      </c>
      <c r="J102" s="4">
        <f t="shared" si="4"/>
        <v>3600</v>
      </c>
      <c r="K102" s="49"/>
      <c r="L102" s="4">
        <v>3600</v>
      </c>
      <c r="M102" s="61"/>
    </row>
    <row r="103" spans="1:13" x14ac:dyDescent="0.45">
      <c r="A103" s="95"/>
      <c r="B103" s="92"/>
      <c r="C103" s="11" t="s">
        <v>11</v>
      </c>
      <c r="D103" s="4">
        <v>6500</v>
      </c>
      <c r="E103" s="4">
        <v>6500</v>
      </c>
      <c r="F103" s="4">
        <v>3200</v>
      </c>
      <c r="G103" s="4">
        <v>300</v>
      </c>
      <c r="H103" s="4">
        <v>300</v>
      </c>
      <c r="I103" s="4">
        <v>300</v>
      </c>
      <c r="J103" s="4">
        <f t="shared" si="4"/>
        <v>4100</v>
      </c>
      <c r="K103" s="60">
        <v>-1500</v>
      </c>
      <c r="L103" s="54">
        <f>6500-1500</f>
        <v>5000</v>
      </c>
      <c r="M103" s="61" t="s">
        <v>234</v>
      </c>
    </row>
    <row r="104" spans="1:13" x14ac:dyDescent="0.45">
      <c r="A104" s="9">
        <v>4619</v>
      </c>
      <c r="B104" s="37" t="s">
        <v>118</v>
      </c>
      <c r="C104" s="11" t="s">
        <v>11</v>
      </c>
      <c r="D104" s="4">
        <v>1500</v>
      </c>
      <c r="E104" s="4">
        <v>1500</v>
      </c>
      <c r="F104" s="4">
        <v>0</v>
      </c>
      <c r="G104" s="4"/>
      <c r="H104" s="4"/>
      <c r="I104" s="4"/>
      <c r="J104" s="4">
        <f t="shared" si="4"/>
        <v>0</v>
      </c>
      <c r="K104" s="49"/>
      <c r="L104" s="4">
        <v>1500</v>
      </c>
      <c r="M104" s="61"/>
    </row>
    <row r="105" spans="1:13" x14ac:dyDescent="0.45">
      <c r="A105" s="83">
        <v>4637</v>
      </c>
      <c r="B105" s="37" t="s">
        <v>119</v>
      </c>
      <c r="C105" s="11" t="s">
        <v>11</v>
      </c>
      <c r="D105" s="4">
        <f>7100-3600</f>
        <v>3500</v>
      </c>
      <c r="E105" s="4">
        <v>3500</v>
      </c>
      <c r="F105" s="4">
        <v>3355</v>
      </c>
      <c r="G105" s="4"/>
      <c r="H105" s="4"/>
      <c r="I105" s="4"/>
      <c r="J105" s="4">
        <f t="shared" si="4"/>
        <v>3355</v>
      </c>
      <c r="K105" s="49"/>
      <c r="L105" s="4">
        <f>7100-3600</f>
        <v>3500</v>
      </c>
      <c r="M105" s="61"/>
    </row>
    <row r="106" spans="1:13" x14ac:dyDescent="0.45">
      <c r="A106" s="92"/>
      <c r="B106" s="37" t="s">
        <v>120</v>
      </c>
      <c r="C106" s="11" t="s">
        <v>39</v>
      </c>
      <c r="D106" s="4">
        <v>8000</v>
      </c>
      <c r="E106" s="4">
        <v>8000</v>
      </c>
      <c r="F106" s="4">
        <v>8000</v>
      </c>
      <c r="G106" s="4"/>
      <c r="H106" s="4"/>
      <c r="I106" s="4"/>
      <c r="J106" s="4">
        <f t="shared" si="4"/>
        <v>8000</v>
      </c>
      <c r="K106" s="49"/>
      <c r="L106" s="4">
        <v>8000</v>
      </c>
      <c r="M106" s="61"/>
    </row>
    <row r="107" spans="1:13" x14ac:dyDescent="0.45">
      <c r="A107" s="14" t="s">
        <v>121</v>
      </c>
      <c r="B107" s="14" t="s">
        <v>122</v>
      </c>
      <c r="C107" s="11" t="s">
        <v>11</v>
      </c>
      <c r="D107" s="4">
        <v>900</v>
      </c>
      <c r="E107" s="4">
        <v>900</v>
      </c>
      <c r="F107" s="4">
        <v>860.77</v>
      </c>
      <c r="G107" s="4"/>
      <c r="H107" s="4"/>
      <c r="I107" s="4"/>
      <c r="J107" s="4">
        <f t="shared" si="4"/>
        <v>860.77</v>
      </c>
      <c r="K107" s="49"/>
      <c r="L107" s="4">
        <v>900</v>
      </c>
      <c r="M107" s="61"/>
    </row>
    <row r="108" spans="1:13" x14ac:dyDescent="0.45">
      <c r="A108" s="14" t="s">
        <v>123</v>
      </c>
      <c r="B108" s="14" t="s">
        <v>124</v>
      </c>
      <c r="C108" s="11" t="s">
        <v>11</v>
      </c>
      <c r="D108" s="4">
        <v>3200</v>
      </c>
      <c r="E108" s="4">
        <v>3200</v>
      </c>
      <c r="F108" s="4">
        <v>2692.79</v>
      </c>
      <c r="G108" s="4"/>
      <c r="H108" s="4"/>
      <c r="I108" s="4"/>
      <c r="J108" s="4">
        <f t="shared" si="4"/>
        <v>2692.79</v>
      </c>
      <c r="K108" s="49"/>
      <c r="L108" s="4">
        <v>3200</v>
      </c>
      <c r="M108" s="61"/>
    </row>
    <row r="109" spans="1:13" x14ac:dyDescent="0.45">
      <c r="A109" s="13">
        <v>46401</v>
      </c>
      <c r="B109" s="11" t="s">
        <v>125</v>
      </c>
      <c r="C109" s="11" t="s">
        <v>11</v>
      </c>
      <c r="D109" s="4">
        <v>2500</v>
      </c>
      <c r="E109" s="4">
        <v>2500</v>
      </c>
      <c r="F109" s="4">
        <v>1125.0999999999999</v>
      </c>
      <c r="G109" s="4"/>
      <c r="H109" s="4"/>
      <c r="I109" s="4"/>
      <c r="J109" s="4">
        <f t="shared" si="4"/>
        <v>1125.0999999999999</v>
      </c>
      <c r="K109" s="49"/>
      <c r="L109" s="4">
        <v>2500</v>
      </c>
      <c r="M109" s="61"/>
    </row>
    <row r="110" spans="1:13" x14ac:dyDescent="0.45">
      <c r="A110" s="14" t="s">
        <v>126</v>
      </c>
      <c r="B110" s="14" t="s">
        <v>127</v>
      </c>
      <c r="C110" s="11" t="s">
        <v>11</v>
      </c>
      <c r="D110" s="4">
        <v>1000</v>
      </c>
      <c r="E110" s="4">
        <v>1000</v>
      </c>
      <c r="F110" s="4">
        <v>687.03</v>
      </c>
      <c r="G110" s="4">
        <v>80</v>
      </c>
      <c r="H110" s="4">
        <v>75</v>
      </c>
      <c r="I110" s="4">
        <v>70</v>
      </c>
      <c r="J110" s="4">
        <f t="shared" si="4"/>
        <v>912.03</v>
      </c>
      <c r="K110" s="49"/>
      <c r="L110" s="4">
        <v>1000</v>
      </c>
      <c r="M110" s="61"/>
    </row>
    <row r="111" spans="1:13" x14ac:dyDescent="0.45">
      <c r="A111" s="14" t="s">
        <v>128</v>
      </c>
      <c r="B111" s="14" t="s">
        <v>129</v>
      </c>
      <c r="C111" s="11" t="s">
        <v>11</v>
      </c>
      <c r="D111" s="4">
        <v>240</v>
      </c>
      <c r="E111" s="4">
        <v>240</v>
      </c>
      <c r="F111" s="4">
        <v>120</v>
      </c>
      <c r="G111" s="4"/>
      <c r="H111" s="4"/>
      <c r="I111" s="4">
        <v>120</v>
      </c>
      <c r="J111" s="4">
        <f t="shared" si="4"/>
        <v>240</v>
      </c>
      <c r="K111" s="49"/>
      <c r="L111" s="4">
        <v>240</v>
      </c>
      <c r="M111" s="61"/>
    </row>
    <row r="112" spans="1:13" x14ac:dyDescent="0.45">
      <c r="A112" s="13">
        <v>4661</v>
      </c>
      <c r="B112" s="11" t="s">
        <v>130</v>
      </c>
      <c r="C112" s="11" t="s">
        <v>11</v>
      </c>
      <c r="D112" s="4">
        <v>3760</v>
      </c>
      <c r="E112" s="4">
        <v>3760</v>
      </c>
      <c r="F112" s="4">
        <v>2196.7199999999998</v>
      </c>
      <c r="G112" s="4"/>
      <c r="H112" s="4"/>
      <c r="I112" s="4"/>
      <c r="J112" s="4">
        <f t="shared" si="4"/>
        <v>2196.7199999999998</v>
      </c>
      <c r="K112" s="60">
        <v>-1500</v>
      </c>
      <c r="L112" s="54">
        <f>3760-1500</f>
        <v>2260</v>
      </c>
      <c r="M112" s="61" t="s">
        <v>235</v>
      </c>
    </row>
    <row r="113" spans="1:13" x14ac:dyDescent="0.45">
      <c r="A113" s="14" t="s">
        <v>131</v>
      </c>
      <c r="B113" s="14" t="s">
        <v>132</v>
      </c>
      <c r="C113" s="11" t="s">
        <v>11</v>
      </c>
      <c r="D113" s="4">
        <v>128</v>
      </c>
      <c r="E113" s="4">
        <v>128</v>
      </c>
      <c r="F113" s="4">
        <v>106.2</v>
      </c>
      <c r="G113" s="4"/>
      <c r="H113" s="4">
        <v>10.62</v>
      </c>
      <c r="I113" s="4">
        <v>10.62</v>
      </c>
      <c r="J113" s="4">
        <f t="shared" si="4"/>
        <v>127.44000000000001</v>
      </c>
      <c r="K113" s="49"/>
      <c r="L113" s="4">
        <v>128</v>
      </c>
      <c r="M113" s="61"/>
    </row>
    <row r="114" spans="1:13" ht="28.5" x14ac:dyDescent="0.45">
      <c r="A114" s="30" t="s">
        <v>133</v>
      </c>
      <c r="B114" s="37" t="s">
        <v>134</v>
      </c>
      <c r="C114" s="10" t="s">
        <v>11</v>
      </c>
      <c r="D114" s="25">
        <f>11085-500+80</f>
        <v>10665</v>
      </c>
      <c r="E114" s="25">
        <v>10665</v>
      </c>
      <c r="F114" s="25">
        <v>6565.63</v>
      </c>
      <c r="G114" s="25">
        <f>328.87+80+400</f>
        <v>808.87</v>
      </c>
      <c r="H114" s="25">
        <f t="shared" ref="H114" si="5">328.87+80</f>
        <v>408.87</v>
      </c>
      <c r="I114" s="25">
        <f>328.87+80+132.72+79.2</f>
        <v>620.79000000000008</v>
      </c>
      <c r="J114" s="25">
        <f t="shared" si="4"/>
        <v>8404.16</v>
      </c>
      <c r="K114" s="49"/>
      <c r="L114" s="25">
        <f>11085-500+80</f>
        <v>10665</v>
      </c>
      <c r="M114" s="61"/>
    </row>
    <row r="115" spans="1:13" x14ac:dyDescent="0.45">
      <c r="A115" s="9">
        <v>4685</v>
      </c>
      <c r="B115" s="37" t="s">
        <v>135</v>
      </c>
      <c r="C115" s="11" t="s">
        <v>39</v>
      </c>
      <c r="D115" s="4">
        <v>3000</v>
      </c>
      <c r="E115" s="4">
        <v>3000</v>
      </c>
      <c r="F115" s="4">
        <v>0</v>
      </c>
      <c r="G115" s="4"/>
      <c r="H115" s="4"/>
      <c r="I115" s="4"/>
      <c r="J115" s="4">
        <f t="shared" si="4"/>
        <v>0</v>
      </c>
      <c r="K115" s="60">
        <v>-3000</v>
      </c>
      <c r="L115" s="54">
        <f>3000-3000</f>
        <v>0</v>
      </c>
      <c r="M115" s="61" t="s">
        <v>236</v>
      </c>
    </row>
    <row r="116" spans="1:13" x14ac:dyDescent="0.45">
      <c r="A116" s="13">
        <v>4690</v>
      </c>
      <c r="B116" s="14" t="s">
        <v>136</v>
      </c>
      <c r="C116" s="11" t="s">
        <v>11</v>
      </c>
      <c r="D116" s="4">
        <v>5345</v>
      </c>
      <c r="E116" s="4">
        <v>5345</v>
      </c>
      <c r="F116" s="4">
        <v>1530</v>
      </c>
      <c r="G116" s="4">
        <v>2400</v>
      </c>
      <c r="H116" s="4"/>
      <c r="I116" s="4"/>
      <c r="J116" s="4">
        <f>F116+G116+H116+I116</f>
        <v>3930</v>
      </c>
      <c r="K116" s="49"/>
      <c r="L116" s="4">
        <v>5345</v>
      </c>
      <c r="M116" s="61"/>
    </row>
    <row r="117" spans="1:13" x14ac:dyDescent="0.45">
      <c r="A117" s="14" t="s">
        <v>137</v>
      </c>
      <c r="B117" s="14" t="s">
        <v>138</v>
      </c>
      <c r="C117" s="11" t="s">
        <v>11</v>
      </c>
      <c r="D117" s="4">
        <v>1500</v>
      </c>
      <c r="E117" s="4">
        <v>1500</v>
      </c>
      <c r="F117" s="4">
        <v>1050</v>
      </c>
      <c r="G117" s="4"/>
      <c r="H117" s="4"/>
      <c r="I117" s="4"/>
      <c r="J117" s="4">
        <f t="shared" si="4"/>
        <v>1050</v>
      </c>
      <c r="K117" s="49"/>
      <c r="L117" s="4">
        <v>1500</v>
      </c>
      <c r="M117" s="61"/>
    </row>
    <row r="118" spans="1:13" x14ac:dyDescent="0.45">
      <c r="A118" s="14" t="s">
        <v>139</v>
      </c>
      <c r="B118" s="14" t="s">
        <v>140</v>
      </c>
      <c r="C118" s="11" t="s">
        <v>11</v>
      </c>
      <c r="D118" s="4">
        <v>100</v>
      </c>
      <c r="E118" s="4">
        <v>100</v>
      </c>
      <c r="F118" s="4">
        <v>0</v>
      </c>
      <c r="G118" s="4"/>
      <c r="H118" s="4"/>
      <c r="I118" s="4"/>
      <c r="J118" s="4">
        <f t="shared" si="4"/>
        <v>0</v>
      </c>
      <c r="K118" s="49"/>
      <c r="L118" s="4">
        <v>100</v>
      </c>
      <c r="M118" s="61"/>
    </row>
    <row r="119" spans="1:13" x14ac:dyDescent="0.45">
      <c r="A119" s="13">
        <v>4695</v>
      </c>
      <c r="B119" s="14" t="s">
        <v>141</v>
      </c>
      <c r="C119" s="11" t="s">
        <v>11</v>
      </c>
      <c r="D119" s="4">
        <v>100</v>
      </c>
      <c r="E119" s="4">
        <v>100</v>
      </c>
      <c r="F119" s="4">
        <v>33.549999999999997</v>
      </c>
      <c r="G119" s="4"/>
      <c r="H119" s="4"/>
      <c r="I119" s="4"/>
      <c r="J119" s="4">
        <f t="shared" si="4"/>
        <v>33.549999999999997</v>
      </c>
      <c r="K119" s="49"/>
      <c r="L119" s="4">
        <v>100</v>
      </c>
      <c r="M119" s="61"/>
    </row>
    <row r="120" spans="1:13" x14ac:dyDescent="0.45">
      <c r="A120" s="13">
        <v>4699</v>
      </c>
      <c r="B120" s="11" t="s">
        <v>142</v>
      </c>
      <c r="C120" s="11" t="s">
        <v>11</v>
      </c>
      <c r="D120" s="4">
        <f>1500-500</f>
        <v>1000</v>
      </c>
      <c r="E120" s="4">
        <v>1000</v>
      </c>
      <c r="F120" s="4">
        <v>1000</v>
      </c>
      <c r="G120" s="4"/>
      <c r="H120" s="4"/>
      <c r="I120" s="4"/>
      <c r="J120" s="4">
        <f t="shared" si="4"/>
        <v>1000</v>
      </c>
      <c r="K120" s="49"/>
      <c r="L120" s="4">
        <f>1500-500</f>
        <v>1000</v>
      </c>
      <c r="M120" s="61"/>
    </row>
    <row r="121" spans="1:13" x14ac:dyDescent="0.45">
      <c r="A121" s="5" t="s">
        <v>143</v>
      </c>
      <c r="B121" s="5" t="s">
        <v>144</v>
      </c>
      <c r="C121" s="5"/>
      <c r="D121" s="6">
        <f>SUM(D122:D124)</f>
        <v>80</v>
      </c>
      <c r="E121" s="6">
        <v>80</v>
      </c>
      <c r="F121" s="6">
        <f>SUM(F122:F124)</f>
        <v>0</v>
      </c>
      <c r="G121" s="6"/>
      <c r="H121" s="6"/>
      <c r="I121" s="6"/>
      <c r="J121" s="6">
        <f>SUM(J122:J124)</f>
        <v>0</v>
      </c>
      <c r="K121" s="6">
        <f>SUM(K122:K124)</f>
        <v>0</v>
      </c>
      <c r="L121" s="6">
        <f>SUM(L122:L124)</f>
        <v>80</v>
      </c>
      <c r="M121" s="50"/>
    </row>
    <row r="122" spans="1:13" x14ac:dyDescent="0.45">
      <c r="A122" s="14" t="s">
        <v>145</v>
      </c>
      <c r="B122" s="14" t="s">
        <v>146</v>
      </c>
      <c r="C122" s="11" t="s">
        <v>11</v>
      </c>
      <c r="D122" s="38">
        <v>40</v>
      </c>
      <c r="E122" s="38">
        <v>40</v>
      </c>
      <c r="F122" s="38">
        <v>0</v>
      </c>
      <c r="G122" s="38"/>
      <c r="H122" s="38"/>
      <c r="I122" s="38"/>
      <c r="J122" s="38"/>
      <c r="K122" s="49"/>
      <c r="L122" s="38">
        <v>40</v>
      </c>
      <c r="M122" s="61"/>
    </row>
    <row r="123" spans="1:13" x14ac:dyDescent="0.45">
      <c r="A123" s="14" t="s">
        <v>147</v>
      </c>
      <c r="B123" s="14" t="s">
        <v>148</v>
      </c>
      <c r="C123" s="11" t="s">
        <v>11</v>
      </c>
      <c r="D123" s="38">
        <v>20</v>
      </c>
      <c r="E123" s="38">
        <v>20</v>
      </c>
      <c r="F123" s="38">
        <v>0</v>
      </c>
      <c r="G123" s="38"/>
      <c r="H123" s="38"/>
      <c r="I123" s="38"/>
      <c r="J123" s="38"/>
      <c r="K123" s="49"/>
      <c r="L123" s="38">
        <v>20</v>
      </c>
      <c r="M123" s="61"/>
    </row>
    <row r="124" spans="1:13" x14ac:dyDescent="0.45">
      <c r="A124" s="14" t="s">
        <v>149</v>
      </c>
      <c r="B124" s="14" t="s">
        <v>150</v>
      </c>
      <c r="C124" s="11" t="s">
        <v>11</v>
      </c>
      <c r="D124" s="38">
        <v>20</v>
      </c>
      <c r="E124" s="38">
        <v>20</v>
      </c>
      <c r="F124" s="38">
        <v>0</v>
      </c>
      <c r="G124" s="38"/>
      <c r="H124" s="38"/>
      <c r="I124" s="38"/>
      <c r="J124" s="38"/>
      <c r="K124" s="49"/>
      <c r="L124" s="38">
        <v>20</v>
      </c>
      <c r="M124" s="61"/>
    </row>
    <row r="125" spans="1:13" x14ac:dyDescent="0.45">
      <c r="A125" s="5" t="s">
        <v>151</v>
      </c>
      <c r="B125" s="5" t="s">
        <v>18</v>
      </c>
      <c r="C125" s="5"/>
      <c r="D125" s="6">
        <f>D126</f>
        <v>20</v>
      </c>
      <c r="E125" s="6">
        <v>20</v>
      </c>
      <c r="F125" s="6">
        <f>F126</f>
        <v>33.18</v>
      </c>
      <c r="G125" s="6"/>
      <c r="H125" s="6"/>
      <c r="I125" s="6"/>
      <c r="J125" s="6">
        <f>J126</f>
        <v>0</v>
      </c>
      <c r="K125" s="6">
        <f>K126</f>
        <v>0</v>
      </c>
      <c r="L125" s="6">
        <f>L126</f>
        <v>20</v>
      </c>
      <c r="M125" s="50"/>
    </row>
    <row r="126" spans="1:13" x14ac:dyDescent="0.45">
      <c r="A126" s="14" t="s">
        <v>152</v>
      </c>
      <c r="B126" s="14" t="s">
        <v>153</v>
      </c>
      <c r="C126" s="11" t="s">
        <v>11</v>
      </c>
      <c r="D126" s="38">
        <v>20</v>
      </c>
      <c r="E126" s="38">
        <v>20</v>
      </c>
      <c r="F126" s="38">
        <v>33.18</v>
      </c>
      <c r="G126" s="38"/>
      <c r="H126" s="38"/>
      <c r="I126" s="38"/>
      <c r="J126" s="38"/>
      <c r="K126" s="49"/>
      <c r="L126" s="38">
        <v>20</v>
      </c>
      <c r="M126" s="61"/>
    </row>
    <row r="127" spans="1:13" x14ac:dyDescent="0.45">
      <c r="A127" s="39"/>
      <c r="B127" s="39"/>
      <c r="C127" s="39"/>
      <c r="K127" s="68"/>
      <c r="M127" s="63"/>
    </row>
    <row r="128" spans="1:13" x14ac:dyDescent="0.45">
      <c r="A128" s="40"/>
      <c r="B128" s="40"/>
      <c r="C128" s="40"/>
      <c r="K128" s="68"/>
      <c r="M128" s="63"/>
    </row>
    <row r="129" spans="1:21" ht="28.5" x14ac:dyDescent="0.45">
      <c r="A129" s="77" t="s">
        <v>0</v>
      </c>
      <c r="B129" s="77" t="s">
        <v>154</v>
      </c>
      <c r="C129" s="77" t="s">
        <v>2</v>
      </c>
      <c r="D129" s="75" t="s">
        <v>3</v>
      </c>
      <c r="E129" s="75" t="s">
        <v>197</v>
      </c>
      <c r="F129" s="75" t="s">
        <v>215</v>
      </c>
      <c r="G129" s="75" t="s">
        <v>211</v>
      </c>
      <c r="H129" s="75" t="s">
        <v>212</v>
      </c>
      <c r="I129" s="75" t="s">
        <v>213</v>
      </c>
      <c r="J129" s="75" t="s">
        <v>214</v>
      </c>
      <c r="K129" s="76" t="s">
        <v>216</v>
      </c>
      <c r="L129" s="75" t="s">
        <v>208</v>
      </c>
      <c r="M129" s="74" t="s">
        <v>218</v>
      </c>
    </row>
    <row r="130" spans="1:21" x14ac:dyDescent="0.45">
      <c r="A130" s="3">
        <v>7</v>
      </c>
      <c r="B130" s="1" t="s">
        <v>155</v>
      </c>
      <c r="C130" s="1"/>
      <c r="D130" s="41">
        <f>D131+D154+D166</f>
        <v>1439571.21</v>
      </c>
      <c r="E130" s="41">
        <v>1478736.64</v>
      </c>
      <c r="F130" s="41">
        <f>F131+F154+F166</f>
        <v>1010642.5700000001</v>
      </c>
      <c r="G130" s="41"/>
      <c r="H130" s="41"/>
      <c r="I130" s="41"/>
      <c r="J130" s="41">
        <f>J131+J154+J166</f>
        <v>1164467.97</v>
      </c>
      <c r="K130" s="49">
        <f>K131+K154+K166</f>
        <v>-253400</v>
      </c>
      <c r="L130" s="41">
        <f>L131+L154+L166</f>
        <v>1225336.6399999999</v>
      </c>
      <c r="M130" s="61"/>
    </row>
    <row r="131" spans="1:21" x14ac:dyDescent="0.45">
      <c r="A131" s="5" t="s">
        <v>156</v>
      </c>
      <c r="B131" s="5" t="s">
        <v>157</v>
      </c>
      <c r="C131" s="5"/>
      <c r="D131" s="42">
        <f>D132+D152</f>
        <v>1352578.73</v>
      </c>
      <c r="E131" s="42">
        <v>1347878.73</v>
      </c>
      <c r="F131" s="42">
        <f>F132+F152</f>
        <v>953371.38000000012</v>
      </c>
      <c r="G131" s="42"/>
      <c r="H131" s="42"/>
      <c r="I131" s="42"/>
      <c r="J131" s="42">
        <f>J132+J152</f>
        <v>1078008.78</v>
      </c>
      <c r="K131" s="64">
        <f>K132+K152</f>
        <v>-233700</v>
      </c>
      <c r="L131" s="42">
        <f>L132+L152</f>
        <v>1114178.73</v>
      </c>
      <c r="M131" s="52"/>
      <c r="Q131" s="7"/>
      <c r="R131" s="43"/>
      <c r="S131" s="7"/>
      <c r="T131" s="8"/>
      <c r="U131" s="44"/>
    </row>
    <row r="132" spans="1:21" x14ac:dyDescent="0.45">
      <c r="A132" s="45">
        <v>751</v>
      </c>
      <c r="B132" s="46" t="s">
        <v>158</v>
      </c>
      <c r="C132" s="47"/>
      <c r="D132" s="48">
        <f>SUM(D133:D149)</f>
        <v>1351578.73</v>
      </c>
      <c r="E132" s="48">
        <v>1346878.73</v>
      </c>
      <c r="F132" s="48">
        <f>SUM(F133:F151)</f>
        <v>953371.38000000012</v>
      </c>
      <c r="G132" s="48"/>
      <c r="H132" s="48"/>
      <c r="I132" s="48"/>
      <c r="J132" s="48">
        <f>SUM(J133:J151)</f>
        <v>1078008.78</v>
      </c>
      <c r="K132" s="69">
        <f>SUM(K133:K151)</f>
        <v>-233700</v>
      </c>
      <c r="L132" s="48">
        <f>SUM(L133:L151)</f>
        <v>1113178.73</v>
      </c>
      <c r="M132" s="53"/>
      <c r="Q132" s="7"/>
      <c r="R132" s="43"/>
      <c r="S132" s="7"/>
      <c r="T132" s="8"/>
      <c r="U132" s="44"/>
    </row>
    <row r="133" spans="1:21" x14ac:dyDescent="0.45">
      <c r="A133" s="14" t="s">
        <v>159</v>
      </c>
      <c r="B133" s="14" t="s">
        <v>160</v>
      </c>
      <c r="C133" s="11" t="s">
        <v>8</v>
      </c>
      <c r="D133" s="4">
        <v>197080</v>
      </c>
      <c r="E133" s="4">
        <v>197080</v>
      </c>
      <c r="F133" s="4">
        <v>164200</v>
      </c>
      <c r="G133" s="4"/>
      <c r="H133" s="4">
        <v>16420</v>
      </c>
      <c r="I133" s="4">
        <v>16460</v>
      </c>
      <c r="J133" s="4">
        <f>F133+G133+H133+I133</f>
        <v>197080</v>
      </c>
      <c r="K133" s="49"/>
      <c r="L133" s="4">
        <v>197080</v>
      </c>
      <c r="M133" s="61"/>
      <c r="R133" s="43"/>
      <c r="S133" s="7"/>
      <c r="T133" s="8"/>
      <c r="U133" s="44"/>
    </row>
    <row r="134" spans="1:21" x14ac:dyDescent="0.45">
      <c r="A134" s="13">
        <v>7510</v>
      </c>
      <c r="B134" s="14" t="s">
        <v>161</v>
      </c>
      <c r="C134" s="11" t="s">
        <v>39</v>
      </c>
      <c r="D134" s="4">
        <v>112040</v>
      </c>
      <c r="E134" s="4">
        <v>123340</v>
      </c>
      <c r="F134" s="4">
        <v>103050</v>
      </c>
      <c r="G134" s="4">
        <v>6750</v>
      </c>
      <c r="H134" s="4">
        <v>6750</v>
      </c>
      <c r="I134" s="4">
        <v>6790</v>
      </c>
      <c r="J134" s="4">
        <f t="shared" ref="J134:J151" si="6">F134+G134+H134+I134</f>
        <v>123340</v>
      </c>
      <c r="K134" s="49"/>
      <c r="L134" s="4">
        <f>112040+11300</f>
        <v>123340</v>
      </c>
      <c r="M134" s="61"/>
      <c r="R134" s="43"/>
      <c r="T134" s="8"/>
      <c r="U134" s="44"/>
    </row>
    <row r="135" spans="1:21" x14ac:dyDescent="0.45">
      <c r="A135" s="13">
        <v>7510</v>
      </c>
      <c r="B135" s="14" t="s">
        <v>162</v>
      </c>
      <c r="C135" s="11" t="s">
        <v>11</v>
      </c>
      <c r="D135" s="4">
        <v>10193.16</v>
      </c>
      <c r="E135" s="4">
        <v>10193.16</v>
      </c>
      <c r="F135" s="4">
        <v>4247.1499999999996</v>
      </c>
      <c r="G135" s="4"/>
      <c r="H135" s="4"/>
      <c r="I135" s="4"/>
      <c r="J135" s="4">
        <f t="shared" si="6"/>
        <v>4247.1499999999996</v>
      </c>
      <c r="K135" s="49"/>
      <c r="L135" s="4">
        <f>10193.16</f>
        <v>10193.16</v>
      </c>
      <c r="M135" s="61"/>
      <c r="R135" s="43"/>
      <c r="T135" s="8"/>
      <c r="U135" s="44"/>
    </row>
    <row r="136" spans="1:21" x14ac:dyDescent="0.45">
      <c r="A136" s="13">
        <v>7510</v>
      </c>
      <c r="B136" s="14" t="s">
        <v>163</v>
      </c>
      <c r="C136" s="11" t="s">
        <v>11</v>
      </c>
      <c r="D136" s="4">
        <v>43913.25</v>
      </c>
      <c r="E136" s="4">
        <v>43913.25</v>
      </c>
      <c r="F136" s="4">
        <v>30181.53</v>
      </c>
      <c r="G136" s="4"/>
      <c r="H136" s="4">
        <f>3342.36+187.03</f>
        <v>3529.3900000000003</v>
      </c>
      <c r="I136" s="4">
        <f>3342.36+187.03</f>
        <v>3529.3900000000003</v>
      </c>
      <c r="J136" s="4">
        <f t="shared" si="6"/>
        <v>37240.31</v>
      </c>
      <c r="K136" s="49"/>
      <c r="L136" s="4">
        <f>43913.25</f>
        <v>43913.25</v>
      </c>
      <c r="M136" s="61"/>
      <c r="R136" s="43"/>
      <c r="T136" s="8"/>
      <c r="U136" s="44"/>
    </row>
    <row r="137" spans="1:21" x14ac:dyDescent="0.45">
      <c r="A137" s="13">
        <v>7510</v>
      </c>
      <c r="B137" s="14" t="s">
        <v>164</v>
      </c>
      <c r="C137" s="11" t="s">
        <v>11</v>
      </c>
      <c r="D137" s="4">
        <v>976.2</v>
      </c>
      <c r="E137" s="4">
        <v>976.2</v>
      </c>
      <c r="F137" s="4">
        <v>813.5</v>
      </c>
      <c r="G137" s="4"/>
      <c r="H137" s="4">
        <v>81.349999999999994</v>
      </c>
      <c r="I137" s="4">
        <v>81.349999999999994</v>
      </c>
      <c r="J137" s="4">
        <f t="shared" si="6"/>
        <v>976.2</v>
      </c>
      <c r="K137" s="49"/>
      <c r="L137" s="4">
        <v>976.2</v>
      </c>
      <c r="M137" s="61"/>
      <c r="R137" s="43"/>
      <c r="T137" s="8"/>
      <c r="U137" s="44"/>
    </row>
    <row r="138" spans="1:21" x14ac:dyDescent="0.45">
      <c r="A138" s="13">
        <v>7510</v>
      </c>
      <c r="B138" s="14" t="s">
        <v>165</v>
      </c>
      <c r="C138" s="11" t="s">
        <v>11</v>
      </c>
      <c r="D138" s="4">
        <v>1200</v>
      </c>
      <c r="E138" s="4">
        <v>1200</v>
      </c>
      <c r="F138" s="4">
        <v>961.79</v>
      </c>
      <c r="G138" s="4"/>
      <c r="H138" s="4">
        <v>60.36</v>
      </c>
      <c r="I138" s="4"/>
      <c r="J138" s="4">
        <f t="shared" si="6"/>
        <v>1022.15</v>
      </c>
      <c r="K138" s="49"/>
      <c r="L138" s="4">
        <v>1200</v>
      </c>
      <c r="M138" s="61"/>
      <c r="Q138" s="7"/>
      <c r="R138" s="43"/>
      <c r="T138" s="44"/>
      <c r="U138" s="44"/>
    </row>
    <row r="139" spans="1:21" x14ac:dyDescent="0.45">
      <c r="A139" s="13">
        <v>7510</v>
      </c>
      <c r="B139" s="14" t="s">
        <v>166</v>
      </c>
      <c r="C139" s="11" t="s">
        <v>11</v>
      </c>
      <c r="D139" s="4">
        <v>21876.12</v>
      </c>
      <c r="E139" s="4">
        <v>21876.12</v>
      </c>
      <c r="F139" s="4">
        <v>26743.7</v>
      </c>
      <c r="G139" s="4"/>
      <c r="H139" s="4">
        <v>3113.11</v>
      </c>
      <c r="I139" s="4">
        <v>3113.11</v>
      </c>
      <c r="J139" s="4">
        <f t="shared" si="6"/>
        <v>32969.919999999998</v>
      </c>
      <c r="K139" s="60">
        <v>11100</v>
      </c>
      <c r="L139" s="54">
        <f>21876.12+11100</f>
        <v>32976.119999999995</v>
      </c>
      <c r="M139" s="61" t="s">
        <v>219</v>
      </c>
      <c r="Q139" s="7"/>
      <c r="S139" s="7"/>
    </row>
    <row r="140" spans="1:21" x14ac:dyDescent="0.45">
      <c r="A140" s="13">
        <v>7510</v>
      </c>
      <c r="B140" s="14" t="s">
        <v>167</v>
      </c>
      <c r="C140" s="11" t="s">
        <v>11</v>
      </c>
      <c r="D140" s="4">
        <v>7000</v>
      </c>
      <c r="E140" s="4">
        <v>7000</v>
      </c>
      <c r="F140" s="4">
        <v>8055.82</v>
      </c>
      <c r="G140" s="4"/>
      <c r="H140" s="4">
        <v>942.17</v>
      </c>
      <c r="I140" s="4">
        <v>942.17</v>
      </c>
      <c r="J140" s="4">
        <f t="shared" si="6"/>
        <v>9940.16</v>
      </c>
      <c r="K140" s="60">
        <v>3000</v>
      </c>
      <c r="L140" s="54">
        <f>7000+3000</f>
        <v>10000</v>
      </c>
      <c r="M140" s="61" t="s">
        <v>222</v>
      </c>
    </row>
    <row r="141" spans="1:21" x14ac:dyDescent="0.45">
      <c r="A141" s="13">
        <v>7510</v>
      </c>
      <c r="B141" s="14" t="s">
        <v>168</v>
      </c>
      <c r="C141" s="11" t="s">
        <v>11</v>
      </c>
      <c r="D141" s="4">
        <v>25000</v>
      </c>
      <c r="E141" s="4">
        <v>25000</v>
      </c>
      <c r="F141" s="4">
        <f>16365.26+1566</f>
        <v>17931.260000000002</v>
      </c>
      <c r="G141" s="4">
        <v>1600</v>
      </c>
      <c r="H141" s="4">
        <v>1750</v>
      </c>
      <c r="I141" s="4">
        <v>1900</v>
      </c>
      <c r="J141" s="4">
        <f t="shared" si="6"/>
        <v>23181.260000000002</v>
      </c>
      <c r="K141" s="49"/>
      <c r="L141" s="4">
        <v>25000</v>
      </c>
      <c r="M141" s="61"/>
    </row>
    <row r="142" spans="1:21" x14ac:dyDescent="0.45">
      <c r="A142" s="13">
        <v>7510</v>
      </c>
      <c r="B142" s="14" t="s">
        <v>169</v>
      </c>
      <c r="C142" s="11" t="s">
        <v>11</v>
      </c>
      <c r="D142" s="4">
        <v>0</v>
      </c>
      <c r="E142" s="4">
        <v>2000</v>
      </c>
      <c r="F142" s="4">
        <v>2000</v>
      </c>
      <c r="G142" s="4"/>
      <c r="H142" s="4"/>
      <c r="I142" s="4"/>
      <c r="J142" s="4">
        <f t="shared" si="6"/>
        <v>2000</v>
      </c>
      <c r="K142" s="49"/>
      <c r="L142" s="4">
        <v>2000</v>
      </c>
      <c r="M142" s="61"/>
    </row>
    <row r="143" spans="1:21" x14ac:dyDescent="0.45">
      <c r="A143" s="13">
        <v>7510</v>
      </c>
      <c r="B143" s="14" t="s">
        <v>170</v>
      </c>
      <c r="C143" s="11" t="s">
        <v>11</v>
      </c>
      <c r="D143" s="4">
        <f>24400+5000</f>
        <v>29400</v>
      </c>
      <c r="E143" s="4">
        <v>29400</v>
      </c>
      <c r="F143" s="4">
        <v>9525</v>
      </c>
      <c r="G143" s="4"/>
      <c r="H143" s="4"/>
      <c r="I143" s="4">
        <v>2000</v>
      </c>
      <c r="J143" s="4">
        <f t="shared" si="6"/>
        <v>11525</v>
      </c>
      <c r="K143" s="60">
        <v>-15000</v>
      </c>
      <c r="L143" s="54">
        <f>24400+5000-15000</f>
        <v>14400</v>
      </c>
      <c r="M143" s="61" t="s">
        <v>223</v>
      </c>
    </row>
    <row r="144" spans="1:21" x14ac:dyDescent="0.45">
      <c r="A144" s="13">
        <v>7510</v>
      </c>
      <c r="B144" s="14" t="s">
        <v>171</v>
      </c>
      <c r="C144" s="11" t="s">
        <v>11</v>
      </c>
      <c r="D144" s="4">
        <f>34500+5000+2500</f>
        <v>42000</v>
      </c>
      <c r="E144" s="4">
        <v>42000</v>
      </c>
      <c r="F144" s="4">
        <v>12700</v>
      </c>
      <c r="G144" s="4"/>
      <c r="H144" s="4">
        <v>3000</v>
      </c>
      <c r="I144" s="4">
        <v>3000</v>
      </c>
      <c r="J144" s="4">
        <f t="shared" si="6"/>
        <v>18700</v>
      </c>
      <c r="K144" s="60">
        <v>-23000</v>
      </c>
      <c r="L144" s="54">
        <f>34500+5000+2500-23000</f>
        <v>19000</v>
      </c>
      <c r="M144" s="61" t="s">
        <v>225</v>
      </c>
    </row>
    <row r="145" spans="1:13" x14ac:dyDescent="0.45">
      <c r="A145" s="13">
        <v>7510</v>
      </c>
      <c r="B145" s="14" t="s">
        <v>172</v>
      </c>
      <c r="C145" s="11" t="s">
        <v>11</v>
      </c>
      <c r="D145" s="4">
        <v>53000</v>
      </c>
      <c r="E145" s="4">
        <v>43000</v>
      </c>
      <c r="F145" s="4">
        <f>22875-6975</f>
        <v>15900</v>
      </c>
      <c r="G145" s="4">
        <v>1000</v>
      </c>
      <c r="H145" s="4"/>
      <c r="I145" s="4">
        <v>2000</v>
      </c>
      <c r="J145" s="4">
        <f t="shared" si="6"/>
        <v>18900</v>
      </c>
      <c r="K145" s="60">
        <v>-23000</v>
      </c>
      <c r="L145" s="54">
        <f>53000-10000-23000</f>
        <v>20000</v>
      </c>
      <c r="M145" s="61" t="s">
        <v>220</v>
      </c>
    </row>
    <row r="146" spans="1:13" x14ac:dyDescent="0.45">
      <c r="A146" s="13">
        <v>7510</v>
      </c>
      <c r="B146" s="14" t="s">
        <v>173</v>
      </c>
      <c r="C146" s="11" t="s">
        <v>11</v>
      </c>
      <c r="D146" s="4">
        <v>761600</v>
      </c>
      <c r="E146" s="4">
        <v>761600</v>
      </c>
      <c r="F146" s="4">
        <v>540536.63</v>
      </c>
      <c r="G146" s="4"/>
      <c r="H146" s="4"/>
      <c r="I146" s="4">
        <v>31000</v>
      </c>
      <c r="J146" s="4">
        <f t="shared" si="6"/>
        <v>571536.63</v>
      </c>
      <c r="K146" s="60">
        <v>-178000</v>
      </c>
      <c r="L146" s="54">
        <f>761600-178000</f>
        <v>583600</v>
      </c>
      <c r="M146" s="61" t="s">
        <v>224</v>
      </c>
    </row>
    <row r="147" spans="1:13" x14ac:dyDescent="0.45">
      <c r="A147" s="13">
        <v>7510</v>
      </c>
      <c r="B147" s="14" t="s">
        <v>174</v>
      </c>
      <c r="C147" s="11" t="s">
        <v>11</v>
      </c>
      <c r="D147" s="4">
        <v>9300</v>
      </c>
      <c r="E147" s="4">
        <v>9300</v>
      </c>
      <c r="F147" s="4">
        <v>6975</v>
      </c>
      <c r="G147" s="4">
        <v>775</v>
      </c>
      <c r="H147" s="4">
        <v>775</v>
      </c>
      <c r="I147" s="4">
        <v>775</v>
      </c>
      <c r="J147" s="4">
        <f t="shared" si="6"/>
        <v>9300</v>
      </c>
      <c r="K147" s="49"/>
      <c r="L147" s="4">
        <v>9300</v>
      </c>
      <c r="M147" s="61"/>
    </row>
    <row r="148" spans="1:13" x14ac:dyDescent="0.45">
      <c r="A148" s="13">
        <v>7510</v>
      </c>
      <c r="B148" s="14" t="s">
        <v>175</v>
      </c>
      <c r="C148" s="11" t="s">
        <v>11</v>
      </c>
      <c r="D148" s="4">
        <f>34200+2500</f>
        <v>36700</v>
      </c>
      <c r="E148" s="4">
        <v>26700</v>
      </c>
      <c r="F148" s="4">
        <v>8750</v>
      </c>
      <c r="G148" s="4">
        <v>3700</v>
      </c>
      <c r="H148" s="4">
        <v>2000</v>
      </c>
      <c r="I148" s="4"/>
      <c r="J148" s="4">
        <f t="shared" si="6"/>
        <v>14450</v>
      </c>
      <c r="K148" s="60">
        <v>-10000</v>
      </c>
      <c r="L148" s="54">
        <f>34200+2500-10000-10000</f>
        <v>16700</v>
      </c>
      <c r="M148" s="61" t="s">
        <v>226</v>
      </c>
    </row>
    <row r="149" spans="1:13" x14ac:dyDescent="0.45">
      <c r="A149" s="13">
        <v>7510</v>
      </c>
      <c r="B149" s="14" t="s">
        <v>176</v>
      </c>
      <c r="C149" s="11" t="s">
        <v>11</v>
      </c>
      <c r="D149" s="4">
        <v>300</v>
      </c>
      <c r="E149" s="4">
        <v>300</v>
      </c>
      <c r="F149" s="4">
        <v>400</v>
      </c>
      <c r="G149" s="4"/>
      <c r="H149" s="4"/>
      <c r="I149" s="4"/>
      <c r="J149" s="4">
        <f t="shared" si="6"/>
        <v>400</v>
      </c>
      <c r="K149" s="49"/>
      <c r="L149" s="4">
        <v>300</v>
      </c>
      <c r="M149" s="61"/>
    </row>
    <row r="150" spans="1:13" x14ac:dyDescent="0.45">
      <c r="A150" s="13">
        <v>7510</v>
      </c>
      <c r="B150" s="14" t="s">
        <v>210</v>
      </c>
      <c r="C150" s="11" t="s">
        <v>11</v>
      </c>
      <c r="D150" s="4">
        <v>0</v>
      </c>
      <c r="E150" s="4">
        <v>0</v>
      </c>
      <c r="F150" s="4">
        <v>400</v>
      </c>
      <c r="G150" s="4"/>
      <c r="H150" s="4">
        <v>400</v>
      </c>
      <c r="I150" s="4">
        <v>400</v>
      </c>
      <c r="J150" s="4">
        <f t="shared" si="6"/>
        <v>1200</v>
      </c>
      <c r="K150" s="70">
        <v>1200</v>
      </c>
      <c r="L150" s="54">
        <v>1200</v>
      </c>
      <c r="M150" s="73" t="s">
        <v>227</v>
      </c>
    </row>
    <row r="151" spans="1:13" x14ac:dyDescent="0.45">
      <c r="A151" s="13">
        <v>7510</v>
      </c>
      <c r="B151" s="17" t="s">
        <v>202</v>
      </c>
      <c r="C151" s="11" t="s">
        <v>11</v>
      </c>
      <c r="D151" s="4">
        <v>0</v>
      </c>
      <c r="E151" s="4">
        <v>2000</v>
      </c>
      <c r="F151" s="4">
        <v>0</v>
      </c>
      <c r="G151" s="4"/>
      <c r="H151" s="4"/>
      <c r="I151" s="4"/>
      <c r="J151" s="4">
        <f t="shared" si="6"/>
        <v>0</v>
      </c>
      <c r="K151" s="66"/>
      <c r="L151" s="4">
        <v>2000</v>
      </c>
      <c r="M151" s="72"/>
    </row>
    <row r="152" spans="1:13" x14ac:dyDescent="0.45">
      <c r="A152" s="45">
        <v>754</v>
      </c>
      <c r="B152" s="47" t="s">
        <v>177</v>
      </c>
      <c r="C152" s="47"/>
      <c r="D152" s="48">
        <f>SUM(D153:D153)</f>
        <v>1000</v>
      </c>
      <c r="E152" s="48">
        <v>1000</v>
      </c>
      <c r="F152" s="48">
        <f>SUM(F153:F153)</f>
        <v>0</v>
      </c>
      <c r="G152" s="48"/>
      <c r="H152" s="48"/>
      <c r="I152" s="48"/>
      <c r="J152" s="48">
        <f>SUM(J153:J153)</f>
        <v>0</v>
      </c>
      <c r="K152" s="69">
        <f>SUM(K153:K153)</f>
        <v>0</v>
      </c>
      <c r="L152" s="48">
        <f>SUM(L153:L153)</f>
        <v>1000</v>
      </c>
      <c r="M152" s="53"/>
    </row>
    <row r="153" spans="1:13" x14ac:dyDescent="0.45">
      <c r="A153" s="13">
        <v>7540</v>
      </c>
      <c r="B153" s="11" t="s">
        <v>178</v>
      </c>
      <c r="C153" s="11" t="s">
        <v>11</v>
      </c>
      <c r="D153" s="4">
        <v>1000</v>
      </c>
      <c r="E153" s="4">
        <v>1000</v>
      </c>
      <c r="F153" s="4">
        <v>0</v>
      </c>
      <c r="G153" s="4"/>
      <c r="H153" s="4"/>
      <c r="I153" s="4"/>
      <c r="J153" s="4">
        <f>F153+G153+H153+I153</f>
        <v>0</v>
      </c>
      <c r="K153" s="49"/>
      <c r="L153" s="4">
        <v>1000</v>
      </c>
      <c r="M153" s="61"/>
    </row>
    <row r="154" spans="1:13" x14ac:dyDescent="0.45">
      <c r="A154" s="5" t="s">
        <v>179</v>
      </c>
      <c r="B154" s="5" t="s">
        <v>180</v>
      </c>
      <c r="C154" s="5"/>
      <c r="D154" s="42">
        <f>SUM(D155:D165)</f>
        <v>85842.48</v>
      </c>
      <c r="E154" s="42">
        <v>128707.91</v>
      </c>
      <c r="F154" s="42">
        <f>SUM(F155:F165)</f>
        <v>56071.48</v>
      </c>
      <c r="G154" s="42"/>
      <c r="H154" s="42"/>
      <c r="I154" s="42"/>
      <c r="J154" s="42">
        <f>SUM(J155:J165)</f>
        <v>85259.48</v>
      </c>
      <c r="K154" s="64">
        <f>SUM(K155:K165)</f>
        <v>-18700</v>
      </c>
      <c r="L154" s="42">
        <f>SUM(L155:L165)</f>
        <v>110007.91</v>
      </c>
      <c r="M154" s="52"/>
    </row>
    <row r="155" spans="1:13" x14ac:dyDescent="0.45">
      <c r="A155" s="13">
        <v>7820</v>
      </c>
      <c r="B155" s="11" t="s">
        <v>181</v>
      </c>
      <c r="C155" s="11" t="s">
        <v>11</v>
      </c>
      <c r="D155" s="4">
        <v>0</v>
      </c>
      <c r="E155" s="4">
        <v>13075.43</v>
      </c>
      <c r="F155" s="4">
        <v>13075.43</v>
      </c>
      <c r="G155" s="4"/>
      <c r="H155" s="4"/>
      <c r="I155" s="4"/>
      <c r="J155" s="4">
        <f>F155+G155+H155+I155</f>
        <v>13075.43</v>
      </c>
      <c r="K155" s="49"/>
      <c r="L155" s="4">
        <v>13075.43</v>
      </c>
      <c r="M155" s="61"/>
    </row>
    <row r="156" spans="1:13" x14ac:dyDescent="0.45">
      <c r="A156" s="13">
        <v>7826</v>
      </c>
      <c r="B156" s="11" t="s">
        <v>182</v>
      </c>
      <c r="C156" s="11" t="s">
        <v>11</v>
      </c>
      <c r="D156" s="4">
        <v>6216.53</v>
      </c>
      <c r="E156" s="4">
        <v>6216.53</v>
      </c>
      <c r="F156" s="4">
        <f>2219.5+300</f>
        <v>2519.5</v>
      </c>
      <c r="G156" s="4"/>
      <c r="H156" s="4"/>
      <c r="I156" s="4"/>
      <c r="J156" s="55">
        <f t="shared" ref="J156:J165" si="7">F156+G156+H156+I156</f>
        <v>2519.5</v>
      </c>
      <c r="K156" s="49"/>
      <c r="L156" s="4">
        <v>6216.53</v>
      </c>
      <c r="M156" s="61"/>
    </row>
    <row r="157" spans="1:13" x14ac:dyDescent="0.45">
      <c r="A157" s="13">
        <v>7860</v>
      </c>
      <c r="B157" s="11" t="s">
        <v>183</v>
      </c>
      <c r="C157" s="11" t="s">
        <v>44</v>
      </c>
      <c r="D157" s="4">
        <v>2000</v>
      </c>
      <c r="E157" s="4">
        <v>2000</v>
      </c>
      <c r="F157" s="4">
        <v>0</v>
      </c>
      <c r="G157" s="4"/>
      <c r="H157" s="4"/>
      <c r="I157" s="4"/>
      <c r="J157" s="55">
        <f t="shared" si="7"/>
        <v>0</v>
      </c>
      <c r="K157" s="49"/>
      <c r="L157" s="4">
        <v>2000</v>
      </c>
      <c r="M157" s="61"/>
    </row>
    <row r="158" spans="1:13" x14ac:dyDescent="0.45">
      <c r="A158" s="13">
        <v>7860</v>
      </c>
      <c r="B158" s="11" t="s">
        <v>184</v>
      </c>
      <c r="C158" s="11" t="s">
        <v>44</v>
      </c>
      <c r="D158" s="4">
        <v>9000</v>
      </c>
      <c r="E158" s="4">
        <v>9000</v>
      </c>
      <c r="F158" s="4">
        <v>0</v>
      </c>
      <c r="G158" s="4"/>
      <c r="H158" s="4"/>
      <c r="I158" s="4"/>
      <c r="J158" s="55">
        <f t="shared" si="7"/>
        <v>0</v>
      </c>
      <c r="K158" s="49"/>
      <c r="L158" s="4">
        <v>9000</v>
      </c>
      <c r="M158" s="61"/>
    </row>
    <row r="159" spans="1:13" x14ac:dyDescent="0.45">
      <c r="A159" s="13">
        <v>7860</v>
      </c>
      <c r="B159" s="11" t="s">
        <v>217</v>
      </c>
      <c r="C159" s="11" t="s">
        <v>11</v>
      </c>
      <c r="D159" s="4">
        <v>0</v>
      </c>
      <c r="E159" s="4">
        <v>0</v>
      </c>
      <c r="F159" s="4">
        <v>0</v>
      </c>
      <c r="G159" s="4"/>
      <c r="H159" s="4"/>
      <c r="I159" s="4">
        <v>300</v>
      </c>
      <c r="J159" s="55">
        <f t="shared" si="7"/>
        <v>300</v>
      </c>
      <c r="K159" s="60">
        <v>300</v>
      </c>
      <c r="L159" s="54">
        <v>300</v>
      </c>
      <c r="M159" s="61" t="s">
        <v>221</v>
      </c>
    </row>
    <row r="160" spans="1:13" ht="28.5" x14ac:dyDescent="0.45">
      <c r="A160" s="9">
        <v>7860</v>
      </c>
      <c r="B160" s="10" t="s">
        <v>185</v>
      </c>
      <c r="C160" s="28" t="s">
        <v>91</v>
      </c>
      <c r="D160" s="25">
        <v>1000</v>
      </c>
      <c r="E160" s="25">
        <v>1000</v>
      </c>
      <c r="F160" s="25">
        <v>473.36</v>
      </c>
      <c r="G160" s="25"/>
      <c r="H160" s="25"/>
      <c r="I160" s="25">
        <v>500</v>
      </c>
      <c r="J160" s="58">
        <f t="shared" si="7"/>
        <v>973.36</v>
      </c>
      <c r="K160" s="49"/>
      <c r="L160" s="25">
        <v>1000</v>
      </c>
      <c r="M160" s="61"/>
    </row>
    <row r="161" spans="1:13" x14ac:dyDescent="0.45">
      <c r="A161" s="9">
        <v>7860</v>
      </c>
      <c r="B161" s="10" t="s">
        <v>186</v>
      </c>
      <c r="C161" s="11" t="s">
        <v>99</v>
      </c>
      <c r="D161" s="25">
        <v>24425.95</v>
      </c>
      <c r="E161" s="25">
        <v>24425.95</v>
      </c>
      <c r="F161" s="25">
        <v>71.19</v>
      </c>
      <c r="G161" s="25"/>
      <c r="H161" s="25"/>
      <c r="I161" s="25"/>
      <c r="J161" s="55">
        <f t="shared" si="7"/>
        <v>71.19</v>
      </c>
      <c r="K161" s="60">
        <v>-19000</v>
      </c>
      <c r="L161" s="57">
        <f>24425.95-19000</f>
        <v>5425.9500000000007</v>
      </c>
      <c r="M161" s="61" t="s">
        <v>228</v>
      </c>
    </row>
    <row r="162" spans="1:13" x14ac:dyDescent="0.45">
      <c r="A162" s="9">
        <v>7860</v>
      </c>
      <c r="B162" s="10" t="s">
        <v>198</v>
      </c>
      <c r="C162" s="11" t="s">
        <v>41</v>
      </c>
      <c r="D162" s="25">
        <v>0</v>
      </c>
      <c r="E162" s="25">
        <v>6640</v>
      </c>
      <c r="F162" s="25">
        <v>0</v>
      </c>
      <c r="G162" s="25"/>
      <c r="H162" s="25"/>
      <c r="I162" s="25">
        <v>6640</v>
      </c>
      <c r="J162" s="4">
        <f t="shared" si="7"/>
        <v>6640</v>
      </c>
      <c r="K162" s="49"/>
      <c r="L162" s="25">
        <v>6640</v>
      </c>
      <c r="M162" s="61"/>
    </row>
    <row r="163" spans="1:13" x14ac:dyDescent="0.45">
      <c r="A163" s="9">
        <v>7860</v>
      </c>
      <c r="B163" s="10" t="s">
        <v>199</v>
      </c>
      <c r="C163" s="11" t="s">
        <v>200</v>
      </c>
      <c r="D163" s="25">
        <v>0</v>
      </c>
      <c r="E163" s="25">
        <v>23150</v>
      </c>
      <c r="F163" s="25">
        <v>22652</v>
      </c>
      <c r="G163" s="25"/>
      <c r="H163" s="25"/>
      <c r="I163" s="25">
        <v>-2052</v>
      </c>
      <c r="J163" s="4">
        <f t="shared" si="7"/>
        <v>20600</v>
      </c>
      <c r="K163" s="49"/>
      <c r="L163" s="25">
        <v>23150</v>
      </c>
      <c r="M163" s="61"/>
    </row>
    <row r="164" spans="1:13" x14ac:dyDescent="0.45">
      <c r="A164" s="13">
        <v>7860</v>
      </c>
      <c r="B164" s="11" t="s">
        <v>187</v>
      </c>
      <c r="C164" s="11" t="s">
        <v>35</v>
      </c>
      <c r="D164" s="4">
        <v>25920</v>
      </c>
      <c r="E164" s="4">
        <v>25920</v>
      </c>
      <c r="F164" s="4">
        <v>0</v>
      </c>
      <c r="G164" s="4">
        <v>6333.33</v>
      </c>
      <c r="H164" s="4">
        <f>6333.33+2400</f>
        <v>8733.33</v>
      </c>
      <c r="I164" s="4">
        <f>6333.34+2400</f>
        <v>8733.34</v>
      </c>
      <c r="J164" s="55">
        <f t="shared" si="7"/>
        <v>23800</v>
      </c>
      <c r="K164" s="49"/>
      <c r="L164" s="4">
        <v>25920</v>
      </c>
      <c r="M164" s="61"/>
    </row>
    <row r="165" spans="1:13" x14ac:dyDescent="0.45">
      <c r="A165" s="13">
        <v>7860</v>
      </c>
      <c r="B165" s="11" t="s">
        <v>188</v>
      </c>
      <c r="C165" s="11" t="s">
        <v>35</v>
      </c>
      <c r="D165" s="4">
        <v>17280</v>
      </c>
      <c r="E165" s="4">
        <v>17280</v>
      </c>
      <c r="F165" s="4">
        <v>17280</v>
      </c>
      <c r="G165" s="4"/>
      <c r="H165" s="4"/>
      <c r="I165" s="4"/>
      <c r="J165" s="55">
        <f t="shared" si="7"/>
        <v>17280</v>
      </c>
      <c r="K165" s="49"/>
      <c r="L165" s="4">
        <v>17280</v>
      </c>
      <c r="M165" s="61"/>
    </row>
    <row r="166" spans="1:13" x14ac:dyDescent="0.45">
      <c r="A166" s="5" t="s">
        <v>189</v>
      </c>
      <c r="B166" s="5" t="s">
        <v>190</v>
      </c>
      <c r="C166" s="5"/>
      <c r="D166" s="42">
        <f>SUM(D167:D170)</f>
        <v>1150</v>
      </c>
      <c r="E166" s="42">
        <v>2150</v>
      </c>
      <c r="F166" s="42">
        <f>SUM(F167:F170)</f>
        <v>1199.71</v>
      </c>
      <c r="G166" s="42"/>
      <c r="H166" s="42"/>
      <c r="I166" s="42"/>
      <c r="J166" s="42">
        <f>SUM(J167:J170)</f>
        <v>1199.71</v>
      </c>
      <c r="K166" s="64">
        <f>SUM(K167:K170)</f>
        <v>-1000</v>
      </c>
      <c r="L166" s="42">
        <f>SUM(L167:L170)</f>
        <v>1150</v>
      </c>
      <c r="M166" s="52"/>
    </row>
    <row r="167" spans="1:13" x14ac:dyDescent="0.45">
      <c r="A167" s="14" t="s">
        <v>191</v>
      </c>
      <c r="B167" s="14" t="s">
        <v>192</v>
      </c>
      <c r="C167" s="11" t="s">
        <v>11</v>
      </c>
      <c r="D167" s="4">
        <v>40</v>
      </c>
      <c r="E167" s="4">
        <v>40</v>
      </c>
      <c r="F167" s="4">
        <v>66.900000000000006</v>
      </c>
      <c r="G167" s="4"/>
      <c r="H167" s="4"/>
      <c r="I167" s="4"/>
      <c r="J167" s="4">
        <f>F167+G167+H167+I167</f>
        <v>66.900000000000006</v>
      </c>
      <c r="K167" s="49"/>
      <c r="L167" s="4">
        <v>40</v>
      </c>
      <c r="M167" s="61"/>
    </row>
    <row r="168" spans="1:13" x14ac:dyDescent="0.45">
      <c r="A168" s="13">
        <v>77101</v>
      </c>
      <c r="B168" s="11" t="s">
        <v>193</v>
      </c>
      <c r="C168" s="11" t="s">
        <v>11</v>
      </c>
      <c r="D168" s="4">
        <f>100+1000</f>
        <v>1100</v>
      </c>
      <c r="E168" s="4">
        <v>1100</v>
      </c>
      <c r="F168" s="4">
        <v>1132.81</v>
      </c>
      <c r="G168" s="4"/>
      <c r="H168" s="4"/>
      <c r="I168" s="4"/>
      <c r="J168" s="4">
        <f t="shared" ref="J168:J170" si="8">F168+G168+H168+I168</f>
        <v>1132.81</v>
      </c>
      <c r="K168" s="49"/>
      <c r="L168" s="4">
        <f>100+1000</f>
        <v>1100</v>
      </c>
      <c r="M168" s="61"/>
    </row>
    <row r="169" spans="1:13" x14ac:dyDescent="0.45">
      <c r="A169" s="13">
        <v>77102</v>
      </c>
      <c r="B169" s="11" t="s">
        <v>201</v>
      </c>
      <c r="C169" s="11" t="s">
        <v>11</v>
      </c>
      <c r="D169" s="4">
        <v>0</v>
      </c>
      <c r="E169" s="4">
        <v>1000</v>
      </c>
      <c r="F169" s="4">
        <v>0</v>
      </c>
      <c r="G169" s="4"/>
      <c r="H169" s="4"/>
      <c r="I169" s="4"/>
      <c r="J169" s="4">
        <f t="shared" si="8"/>
        <v>0</v>
      </c>
      <c r="K169" s="60">
        <v>-1000</v>
      </c>
      <c r="L169" s="54">
        <f>1000-1000</f>
        <v>0</v>
      </c>
      <c r="M169" s="61" t="s">
        <v>229</v>
      </c>
    </row>
    <row r="170" spans="1:13" x14ac:dyDescent="0.45">
      <c r="A170" s="13">
        <v>7720</v>
      </c>
      <c r="B170" s="11" t="s">
        <v>194</v>
      </c>
      <c r="C170" s="11" t="s">
        <v>11</v>
      </c>
      <c r="D170" s="4">
        <v>10</v>
      </c>
      <c r="E170" s="4">
        <v>10</v>
      </c>
      <c r="F170" s="4">
        <v>0</v>
      </c>
      <c r="G170" s="4"/>
      <c r="H170" s="4"/>
      <c r="I170" s="4"/>
      <c r="J170" s="4">
        <f t="shared" si="8"/>
        <v>0</v>
      </c>
      <c r="K170" s="49"/>
      <c r="L170" s="4">
        <v>10</v>
      </c>
      <c r="M170" s="61"/>
    </row>
    <row r="171" spans="1:13" x14ac:dyDescent="0.45">
      <c r="A171" s="5" t="s">
        <v>195</v>
      </c>
      <c r="B171" s="5" t="s">
        <v>196</v>
      </c>
      <c r="C171" s="5"/>
      <c r="D171" s="42">
        <f>D130-D2</f>
        <v>4209.75</v>
      </c>
      <c r="E171" s="42">
        <v>7185.1799999999348</v>
      </c>
      <c r="F171" s="42">
        <f>F130-F2</f>
        <v>65407.839999999967</v>
      </c>
      <c r="G171" s="42"/>
      <c r="H171" s="42"/>
      <c r="I171" s="42"/>
      <c r="J171" s="42">
        <f>J130-J2</f>
        <v>9203.1799999999348</v>
      </c>
      <c r="K171" s="64"/>
      <c r="L171" s="42">
        <f>L130-L2</f>
        <v>4805.1799999999348</v>
      </c>
      <c r="M171" s="52"/>
    </row>
  </sheetData>
  <autoFilter ref="A2:C127" xr:uid="{5D2B9013-4273-4ACA-9029-0CDAB415E228}"/>
  <mergeCells count="38">
    <mergeCell ref="A78:A83"/>
    <mergeCell ref="A105:A106"/>
    <mergeCell ref="B51:B53"/>
    <mergeCell ref="A51:A53"/>
    <mergeCell ref="A95:A97"/>
    <mergeCell ref="B95:B97"/>
    <mergeCell ref="A101:A103"/>
    <mergeCell ref="B101:B103"/>
    <mergeCell ref="A93:A94"/>
    <mergeCell ref="B93:B94"/>
    <mergeCell ref="A59:A60"/>
    <mergeCell ref="B59:B60"/>
    <mergeCell ref="A61:A62"/>
    <mergeCell ref="B61:B62"/>
    <mergeCell ref="A69:A74"/>
    <mergeCell ref="B78:B83"/>
    <mergeCell ref="A39:A40"/>
    <mergeCell ref="B24:B25"/>
    <mergeCell ref="A24:A25"/>
    <mergeCell ref="A63:A64"/>
    <mergeCell ref="B63:B64"/>
    <mergeCell ref="A35:A37"/>
    <mergeCell ref="M24:M25"/>
    <mergeCell ref="M52:M53"/>
    <mergeCell ref="M78:M83"/>
    <mergeCell ref="M1:M2"/>
    <mergeCell ref="A43:A44"/>
    <mergeCell ref="B43:B44"/>
    <mergeCell ref="A8:A9"/>
    <mergeCell ref="B8:B9"/>
    <mergeCell ref="A11:A12"/>
    <mergeCell ref="B11:B12"/>
    <mergeCell ref="A13:A14"/>
    <mergeCell ref="B13:B14"/>
    <mergeCell ref="A20:A21"/>
    <mergeCell ref="B20:B21"/>
    <mergeCell ref="A22:A23"/>
    <mergeCell ref="B22:B23"/>
  </mergeCells>
  <phoneticPr fontId="5" type="noConversion"/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II. Izmjena</vt:lpstr>
      <vt:lpstr>'II. Izmjena'!Podrucje_ispisa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 Golub</dc:creator>
  <cp:lastModifiedBy>Melita  Golub</cp:lastModifiedBy>
  <cp:lastPrinted>2025-10-30T07:13:03Z</cp:lastPrinted>
  <dcterms:created xsi:type="dcterms:W3CDTF">2025-07-11T11:46:52Z</dcterms:created>
  <dcterms:modified xsi:type="dcterms:W3CDTF">2025-10-30T07:14:31Z</dcterms:modified>
</cp:coreProperties>
</file>