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_AKTI_TVRTKA\3_SKUPŠTINA\2025\58. sjednica_srpanj 25\4. točka - I. Izmjena financijskog plana za 2025\"/>
    </mc:Choice>
  </mc:AlternateContent>
  <xr:revisionPtr revIDLastSave="0" documentId="13_ncr:1_{47B161C4-2CB6-4CF9-883B-D1BF3B7ED8EC}" xr6:coauthVersionLast="47" xr6:coauthVersionMax="47" xr10:uidLastSave="{00000000-0000-0000-0000-000000000000}"/>
  <bookViews>
    <workbookView xWindow="-38510" yWindow="-1160" windowWidth="38620" windowHeight="21100" xr2:uid="{DE411279-253E-430F-9553-5428AC7673A0}"/>
  </bookViews>
  <sheets>
    <sheet name="I. Izmjena" sheetId="1" r:id="rId1"/>
  </sheets>
  <definedNames>
    <definedName name="_xlnm._FilterDatabase" localSheetId="0" hidden="1">'I. Izmjena'!$A$2:$C$125</definedName>
    <definedName name="_xlnm.Print_Area" localSheetId="0">'I. Izmjena'!$A$1:$H$167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146" i="1"/>
  <c r="G143" i="1"/>
  <c r="E88" i="1"/>
  <c r="G88" i="1" l="1"/>
  <c r="F88" i="1"/>
  <c r="D88" i="1"/>
  <c r="G67" i="1"/>
  <c r="G45" i="1"/>
  <c r="F67" i="1"/>
  <c r="G69" i="1"/>
  <c r="G79" i="1" l="1"/>
  <c r="G75" i="1" s="1"/>
  <c r="E139" i="1"/>
  <c r="G85" i="1"/>
  <c r="G84" i="1"/>
  <c r="G83" i="1"/>
  <c r="E45" i="1"/>
  <c r="G42" i="1"/>
  <c r="G34" i="1"/>
  <c r="G27" i="1"/>
  <c r="G132" i="1"/>
  <c r="G26" i="1"/>
  <c r="G164" i="1"/>
  <c r="G162" i="1"/>
  <c r="G151" i="1"/>
  <c r="G149" i="1"/>
  <c r="G142" i="1"/>
  <c r="G141" i="1"/>
  <c r="G123" i="1"/>
  <c r="G119" i="1"/>
  <c r="G118" i="1"/>
  <c r="G112" i="1"/>
  <c r="G103" i="1"/>
  <c r="G86" i="1"/>
  <c r="G74" i="1"/>
  <c r="G31" i="1"/>
  <c r="G30" i="1"/>
  <c r="G14" i="1"/>
  <c r="G12" i="1"/>
  <c r="G4" i="1"/>
  <c r="G3" i="1" s="1"/>
  <c r="F162" i="1"/>
  <c r="F151" i="1"/>
  <c r="F149" i="1"/>
  <c r="F130" i="1"/>
  <c r="F123" i="1"/>
  <c r="F119" i="1"/>
  <c r="F90" i="1"/>
  <c r="F86" i="1"/>
  <c r="F82" i="1"/>
  <c r="F75" i="1"/>
  <c r="F16" i="1"/>
  <c r="F3" i="1"/>
  <c r="D164" i="1"/>
  <c r="D162" i="1" s="1"/>
  <c r="E162" i="1"/>
  <c r="E153" i="1"/>
  <c r="E151" i="1" s="1"/>
  <c r="D151" i="1"/>
  <c r="E149" i="1"/>
  <c r="D149" i="1"/>
  <c r="D146" i="1"/>
  <c r="E143" i="1"/>
  <c r="E142" i="1"/>
  <c r="D142" i="1"/>
  <c r="D141" i="1"/>
  <c r="E134" i="1"/>
  <c r="E123" i="1"/>
  <c r="D123" i="1"/>
  <c r="E119" i="1"/>
  <c r="D119" i="1"/>
  <c r="D118" i="1"/>
  <c r="D112" i="1"/>
  <c r="E103" i="1"/>
  <c r="E90" i="1" s="1"/>
  <c r="D103" i="1"/>
  <c r="E86" i="1"/>
  <c r="D86" i="1"/>
  <c r="E83" i="1"/>
  <c r="E82" i="1" s="1"/>
  <c r="D82" i="1"/>
  <c r="E81" i="1"/>
  <c r="E79" i="1"/>
  <c r="E78" i="1"/>
  <c r="E76" i="1"/>
  <c r="D75" i="1"/>
  <c r="D74" i="1"/>
  <c r="E42" i="1"/>
  <c r="E41" i="1"/>
  <c r="D34" i="1"/>
  <c r="E31" i="1"/>
  <c r="D31" i="1"/>
  <c r="D30" i="1"/>
  <c r="E27" i="1"/>
  <c r="D14" i="1"/>
  <c r="E13" i="1"/>
  <c r="D12" i="1"/>
  <c r="E4" i="1"/>
  <c r="D4" i="1"/>
  <c r="E75" i="1" l="1"/>
  <c r="G82" i="1"/>
  <c r="F129" i="1"/>
  <c r="F128" i="1" s="1"/>
  <c r="G90" i="1"/>
  <c r="E130" i="1"/>
  <c r="G130" i="1"/>
  <c r="G129" i="1" s="1"/>
  <c r="G128" i="1" s="1"/>
  <c r="G16" i="1"/>
  <c r="D3" i="1"/>
  <c r="F2" i="1"/>
  <c r="F167" i="1" s="1"/>
  <c r="E3" i="1"/>
  <c r="D90" i="1"/>
  <c r="E16" i="1"/>
  <c r="E129" i="1"/>
  <c r="E128" i="1" s="1"/>
  <c r="D130" i="1"/>
  <c r="D129" i="1" s="1"/>
  <c r="D128" i="1" s="1"/>
  <c r="D16" i="1"/>
  <c r="G2" i="1" l="1"/>
  <c r="G167" i="1" s="1"/>
  <c r="E2" i="1"/>
  <c r="E167" i="1" s="1"/>
  <c r="D2" i="1"/>
  <c r="D167" i="1" s="1"/>
</calcChain>
</file>

<file path=xl/sharedStrings.xml><?xml version="1.0" encoding="utf-8"?>
<sst xmlns="http://schemas.openxmlformats.org/spreadsheetml/2006/main" count="381" uniqueCount="236">
  <si>
    <t>Konto</t>
  </si>
  <si>
    <t>Opis troškova</t>
  </si>
  <si>
    <t>Izvor financiranja</t>
  </si>
  <si>
    <t>Plan 2025.</t>
  </si>
  <si>
    <t>Realizacija 30.06.</t>
  </si>
  <si>
    <t>TROŠKOVI</t>
  </si>
  <si>
    <t>40</t>
  </si>
  <si>
    <t>MATERIJALNI TROŠKOVI</t>
  </si>
  <si>
    <t>4004</t>
  </si>
  <si>
    <t xml:space="preserve">Potrošni materijal </t>
  </si>
  <si>
    <t>KZŽ-upravljanje</t>
  </si>
  <si>
    <t>OSTALI VANJSKI TROŠKOVI (troškovi usluga)</t>
  </si>
  <si>
    <t>Uredski materijal</t>
  </si>
  <si>
    <t>Vlastiti prihod/tržište</t>
  </si>
  <si>
    <t>TROŠKOVI OSOBLJA - PLAĆE</t>
  </si>
  <si>
    <t>Voda (izvorska) za piće</t>
  </si>
  <si>
    <t>AMORTIZACIJA</t>
  </si>
  <si>
    <t>Troškovi ukrasnog bilja</t>
  </si>
  <si>
    <t>OSTALI TROŠKOVI POSLOVANJA</t>
  </si>
  <si>
    <t>Ostali materijalni troškovi-natpisne ploče, ključevi,</t>
  </si>
  <si>
    <t>OSTALI POSLOVNI RASHODI</t>
  </si>
  <si>
    <t>4040</t>
  </si>
  <si>
    <t xml:space="preserve">Troškovi sitnog inventara </t>
  </si>
  <si>
    <t>4060</t>
  </si>
  <si>
    <t>Električna energija</t>
  </si>
  <si>
    <t>4061</t>
  </si>
  <si>
    <t>Plin, para, briketi i drva</t>
  </si>
  <si>
    <t>4075/4076</t>
  </si>
  <si>
    <t>Troškovi goriva službenog automobila</t>
  </si>
  <si>
    <t>41</t>
  </si>
  <si>
    <t>4100</t>
  </si>
  <si>
    <t>Troškovi telefona, interneta i sl. (fiksna i mobilna telefonija)</t>
  </si>
  <si>
    <t>4101</t>
  </si>
  <si>
    <t>Poštanski troškovi</t>
  </si>
  <si>
    <t>4114</t>
  </si>
  <si>
    <t xml:space="preserve">Grafičke usluge </t>
  </si>
  <si>
    <t>Vanjski stručnjaci- predavač Health IT edukacije-3 generacija</t>
  </si>
  <si>
    <t>HEALTH IT (HZZ)</t>
  </si>
  <si>
    <t>Vanjski stručnjaci- predavač Health IT edukacije-4 generacija</t>
  </si>
  <si>
    <t>Vanjski stručnjaci - projekti Girls Code Camp, Griz Biz</t>
  </si>
  <si>
    <t>Ostale vanjske usluge-Invest in Zagorje (voditelji)</t>
  </si>
  <si>
    <t>KZŽ - aktivnosti rada</t>
  </si>
  <si>
    <t>Ostale vanjske usluge-Invest in Zagorje (snimatelj, dj)</t>
  </si>
  <si>
    <t>Interregional switch</t>
  </si>
  <si>
    <t>Ostale vanjske usluge-SPRINT (mentorstvi i masterclas)</t>
  </si>
  <si>
    <t>Ostale vanjske usluge-Hamag Bicro edukacije-recertifikacija</t>
  </si>
  <si>
    <t xml:space="preserve">Hamag Bicro </t>
  </si>
  <si>
    <t>Usluge tekućeg održavanja-objekt (popravci razni, bojanje zidova...)</t>
  </si>
  <si>
    <t>4120/41202</t>
  </si>
  <si>
    <t>Usluge tekućeg održavanja-oprema*</t>
  </si>
  <si>
    <t>Usluge čišćenja (vanjski servis)</t>
  </si>
  <si>
    <t>Usluge čišćenja snijega</t>
  </si>
  <si>
    <t xml:space="preserve">Usluge održavanja softvera i web stranica (Internet stranica Poduzetničkog centra, inkubatora, Invest in Zagorje, BAIF platforma, e - pisarnica, održavanje aplikacije virtualnog inkubatora i aplikacije narudžbenica) </t>
  </si>
  <si>
    <t xml:space="preserve">Usluga održavanja web platforme Invest in Zagorje i održavanje GIS </t>
  </si>
  <si>
    <t>4125/4126</t>
  </si>
  <si>
    <t>Usluge održavanja službenog automobila</t>
  </si>
  <si>
    <t>4127</t>
  </si>
  <si>
    <t>Usluge zaštite na radu (ispitivanje objekta)</t>
  </si>
  <si>
    <t>Usluge zaštite na radu ( godišnji poslovi zaštite na radu)</t>
  </si>
  <si>
    <t>4130/4131</t>
  </si>
  <si>
    <t>Registracija službenog automobila</t>
  </si>
  <si>
    <t>4140</t>
  </si>
  <si>
    <t>Zakupnine - najamnine nekretnina (najam poslovnog prostora Krapinsko-zagorske županije)</t>
  </si>
  <si>
    <t>Zakupnine - oprema - Invest in Zagorje (pozornica, tehnička oprema)</t>
  </si>
  <si>
    <t>4143/4144</t>
  </si>
  <si>
    <t xml:space="preserve">Operativni najam službenog vozila </t>
  </si>
  <si>
    <t>Usluge web sjedišta (hosting e-pisarnice, Internet stranica inkubatora i PCKZŽ)</t>
  </si>
  <si>
    <t>41492</t>
  </si>
  <si>
    <t>Usluge web sjedišta hosting Invest in Zagorje</t>
  </si>
  <si>
    <t>4150</t>
  </si>
  <si>
    <t>Troškovi promidžbe  (stručnjak za komunikacije na društvenim mrežama i online promociju, google ads, Meta)</t>
  </si>
  <si>
    <t>Troškovi oglašavanja putem medija-Invest in Zagorje i dr.</t>
  </si>
  <si>
    <t>Autorski ugovori (Invest in Zagorje)</t>
  </si>
  <si>
    <t>Prijenos partnerima na projektu SPRINT</t>
  </si>
  <si>
    <t>4164</t>
  </si>
  <si>
    <t>Knjigovodstvene usluge</t>
  </si>
  <si>
    <t>Odvjetničke usluge</t>
  </si>
  <si>
    <t>Bilježničke usluge</t>
  </si>
  <si>
    <t>Usluge stručnjaka - goedeta i sl.</t>
  </si>
  <si>
    <t>4170</t>
  </si>
  <si>
    <t>Komunalna naknada</t>
  </si>
  <si>
    <t>4171</t>
  </si>
  <si>
    <t xml:space="preserve">Odvoz smeća </t>
  </si>
  <si>
    <t>4172</t>
  </si>
  <si>
    <t>Voda i odvodnja</t>
  </si>
  <si>
    <t>4173</t>
  </si>
  <si>
    <t>Usluge održavanja okoliša (košnja trave, održavanje zelenih površina i biljaka)</t>
  </si>
  <si>
    <t>Garažiranje i parkiranje vozila</t>
  </si>
  <si>
    <t>4177</t>
  </si>
  <si>
    <t>Dimnjačarske i ekološke usluge</t>
  </si>
  <si>
    <t>4178</t>
  </si>
  <si>
    <t>Usluge zbrinjavanja otpada, deratizacija</t>
  </si>
  <si>
    <t>4180/4181</t>
  </si>
  <si>
    <t>Usluge reprezentacije - osvježenja za edukacije, konferencije, poslovni sastanci</t>
  </si>
  <si>
    <t>Usluge reprezentacije - osvježenja za radionice Kreiraj svoju budućnost</t>
  </si>
  <si>
    <t>KZŽ - Kreiraj svoju budućnost</t>
  </si>
  <si>
    <t>Usluge reprezentacije - osvježenja za edukacije Health IT Akademija</t>
  </si>
  <si>
    <t>Usluge reprezentacije- osvježenja za događanja u okviru projekta SPRINT</t>
  </si>
  <si>
    <t>Usluge reprezentacije - Invest in Zagorje</t>
  </si>
  <si>
    <t>Usluge reprezentacije - Hamag Bicro radionice</t>
  </si>
  <si>
    <t>4197</t>
  </si>
  <si>
    <t>Trošak autoputa, tunela i mostarina</t>
  </si>
  <si>
    <t>Ostali vanjski troškovi - usluge psihološko testiranje prilikom postupka zapošljavanja, kotizacije, ostalo</t>
  </si>
  <si>
    <t>ZEZ faza II_ITU</t>
  </si>
  <si>
    <t>43</t>
  </si>
  <si>
    <t>Amortizacija materijalne i namaterijalne imovine</t>
  </si>
  <si>
    <t>Amortizacija nematerijalne imovine _GIS dio</t>
  </si>
  <si>
    <t>Amortizacija nematerijalne imovine _VR</t>
  </si>
  <si>
    <t>44</t>
  </si>
  <si>
    <t>VRIJEDNOSNO USKLAĐENJE DUGOTRAJNE I KRATKOTRAJNE IMOVINE</t>
  </si>
  <si>
    <t>Vrijednosna usklađivanja zastarjelih potraživanja</t>
  </si>
  <si>
    <t>46</t>
  </si>
  <si>
    <t>4600, 4602, 4605, 4606</t>
  </si>
  <si>
    <t>Troškovi službenih putovanja (dnevice, uporaba vl.automobila, troškovi noćenja, ostali troškovi)</t>
  </si>
  <si>
    <t>4610</t>
  </si>
  <si>
    <t>Troškovi prijevoza na posao i s posla</t>
  </si>
  <si>
    <t>4615</t>
  </si>
  <si>
    <t xml:space="preserve">Darovi djeci, potpore za novorođenče i sl. potpore </t>
  </si>
  <si>
    <t>4616</t>
  </si>
  <si>
    <t>Prigodne nagrade (božićnice, uskrsnice, dar u naravi,  regres za god. odmor, jubilarne nagrade i sl.)</t>
  </si>
  <si>
    <t>Popotre u slučaju bolesti, smrti…</t>
  </si>
  <si>
    <t>Trošak prehrane</t>
  </si>
  <si>
    <t>Nagrade za radne rezultate</t>
  </si>
  <si>
    <t>Promotivni materijali</t>
  </si>
  <si>
    <t>Promotivni materijali Invest in Zagorje</t>
  </si>
  <si>
    <t>4642</t>
  </si>
  <si>
    <t>Premije osiguranja prometnih sredstava (uključivo i kasko)</t>
  </si>
  <si>
    <t>4644</t>
  </si>
  <si>
    <t>Premije dopunskog i dodatnog zdravstvenog osiguranja</t>
  </si>
  <si>
    <t>Premije osiguranja rizik posla</t>
  </si>
  <si>
    <t>4650</t>
  </si>
  <si>
    <t>Troškovi platnog prometa</t>
  </si>
  <si>
    <t>4660</t>
  </si>
  <si>
    <t>Članarine komori (HGK ili HOK) i dopr. za javne ovlasti</t>
  </si>
  <si>
    <t>Članarina HUP, Udruga HRIF, CroAi, Ebn, Crostartup</t>
  </si>
  <si>
    <t>4684</t>
  </si>
  <si>
    <t>Trošak HRT pretplate</t>
  </si>
  <si>
    <t>4685</t>
  </si>
  <si>
    <t>Troškovi licenciranih prava (aplikacije za uredsko poslovanje, servisi za virtualne sastanke i komunikacijske platforme, aplikacija za pripremu i slanje newslettera)</t>
  </si>
  <si>
    <t>Troškovi licence portala Invest in Zagorje (B2Match)</t>
  </si>
  <si>
    <t>Opće obrazovanje-edukacije djelatnika</t>
  </si>
  <si>
    <t>4691</t>
  </si>
  <si>
    <t>Troškovi za priručnike, časopise i stručnu literaturu</t>
  </si>
  <si>
    <t>4693</t>
  </si>
  <si>
    <t>Sudski troškovi i pristojbe</t>
  </si>
  <si>
    <t>Troškovi obveznih liječničkih pregleda radnika</t>
  </si>
  <si>
    <t xml:space="preserve">Ostali nematerijalni troškovi </t>
  </si>
  <si>
    <t>47</t>
  </si>
  <si>
    <t>FINANCIJSKI TROŠKOVI</t>
  </si>
  <si>
    <t>4741</t>
  </si>
  <si>
    <t>Zatezne kamate na poreze, doprinose i dr. davanja</t>
  </si>
  <si>
    <t>4750</t>
  </si>
  <si>
    <t>Negativne tečajne razlike iz obveza za nabave u inozemstvu</t>
  </si>
  <si>
    <t>4752</t>
  </si>
  <si>
    <t>Negativne tečajne razlike iz potraživanja u inozemstvu</t>
  </si>
  <si>
    <t>48</t>
  </si>
  <si>
    <t>4899</t>
  </si>
  <si>
    <t>Ostali nespomenuti poslovni troškovi</t>
  </si>
  <si>
    <t>Opis prihoda</t>
  </si>
  <si>
    <t>PRIHODI</t>
  </si>
  <si>
    <t>75</t>
  </si>
  <si>
    <t>PRIHODI OD PRODAJE PROIZVODA I USLUGA</t>
  </si>
  <si>
    <t xml:space="preserve">Prihodi od prodaje proizvoda i usluga   </t>
  </si>
  <si>
    <t>7510</t>
  </si>
  <si>
    <t>Prihodi od pružanja usluga-upravljanje PTI</t>
  </si>
  <si>
    <t>Prihodi od pružanja usluga-aktivnosti rada PCKZŽ</t>
  </si>
  <si>
    <t>Prihodi od pružanja usluga- zakup centar za robotiku</t>
  </si>
  <si>
    <t>Prihodi od pružanja usluga- zakup inkubacijskih prostora</t>
  </si>
  <si>
    <t>Prihodi od pružanja usluga- zakup Hamag</t>
  </si>
  <si>
    <t>Prihodi od pružanja usluga-zakup dvorane</t>
  </si>
  <si>
    <t>Prihodi od pružanja usluga-zakup coworking prostora</t>
  </si>
  <si>
    <t>Prihodi od pružanja usluga-virtual office</t>
  </si>
  <si>
    <t>Prihodi od pružanja usluga-prefakturiranje režija</t>
  </si>
  <si>
    <t>Prihodi od pružanja usluga-sponzorstva</t>
  </si>
  <si>
    <t>Prihodi od pružanja usluga-poduzetništvo priprema projekata</t>
  </si>
  <si>
    <t>Prihodi od pružanja usluga-poslovni planovi/krediti/studije</t>
  </si>
  <si>
    <t>Prihodi od pružanja usluga-poduzetništvo provedba projekata</t>
  </si>
  <si>
    <t>Prihodi od pružanja usluga-poduzetništvo provedba projekata-SPRINT</t>
  </si>
  <si>
    <t>Prihodi od pružanja usluga-poduzetništvo provedba projekata-ZEZ</t>
  </si>
  <si>
    <t>Prihodi od pružanja usluga-ruralni razvoj priprema projekata</t>
  </si>
  <si>
    <t>Prihodi od pružanja usluga-ruralni razvoj provedba projekata</t>
  </si>
  <si>
    <t>Prihodi od prodaje usluga EU</t>
  </si>
  <si>
    <t>Prihodi od pružanja usluga EU</t>
  </si>
  <si>
    <t>78</t>
  </si>
  <si>
    <t xml:space="preserve">OSTALI POSLOVNI I IZVANREDNI PRIHODI </t>
  </si>
  <si>
    <t>Prihodi od dugoročnih rezerviranja</t>
  </si>
  <si>
    <t>Prihodi od naknadno naplaćenih potraživanja</t>
  </si>
  <si>
    <t>Prihodi od refundacija Mreža Bond (sl.putovanja)</t>
  </si>
  <si>
    <t>Prihodi od refundacija Mreža Bond (edukacije)</t>
  </si>
  <si>
    <t>Prihod od refundacuija KZŽ - Kreiraj svoju budućnost</t>
  </si>
  <si>
    <t>Prihod po zahtjevu za nadoknadom sredstava - ZEZ</t>
  </si>
  <si>
    <t>Prihodi od državnih potpora - HZZ Health IT Akademija 4</t>
  </si>
  <si>
    <t>Prihodi od državnih potpora - HZZ Health IT Akademija 3-odgođeni prihod iz 2024.</t>
  </si>
  <si>
    <t>77</t>
  </si>
  <si>
    <t>FINANCIJSKI PRIHODI</t>
  </si>
  <si>
    <t>7710</t>
  </si>
  <si>
    <t>Prihodi od redovnih kamata</t>
  </si>
  <si>
    <t>Prihodi od kamata, LGF</t>
  </si>
  <si>
    <t>Pozitivne tečajne razlike</t>
  </si>
  <si>
    <t>79</t>
  </si>
  <si>
    <t>RAZLIKA PRIHODA I RASHODA FINANCIJSKE GODINE</t>
  </si>
  <si>
    <t>Promjena</t>
  </si>
  <si>
    <t>I. Izmjena</t>
  </si>
  <si>
    <t>4.</t>
  </si>
  <si>
    <t>5.</t>
  </si>
  <si>
    <t>Prihod po zahtjevu za nadoknadom sredstava_Interirgional switch</t>
  </si>
  <si>
    <t>1.</t>
  </si>
  <si>
    <t>7.</t>
  </si>
  <si>
    <t>2.</t>
  </si>
  <si>
    <t>6.</t>
  </si>
  <si>
    <t>3.</t>
  </si>
  <si>
    <t>8.</t>
  </si>
  <si>
    <t>Prihod po zahtjevu za nadoknadom sredstava_Marc program</t>
  </si>
  <si>
    <t>9.</t>
  </si>
  <si>
    <t>10.</t>
  </si>
  <si>
    <t>11.</t>
  </si>
  <si>
    <t>12.</t>
  </si>
  <si>
    <t>13.</t>
  </si>
  <si>
    <t>Broj objašnjenja</t>
  </si>
  <si>
    <t>Erste zaklada</t>
  </si>
  <si>
    <t>Prihodi od naknada - HBOR krediti</t>
  </si>
  <si>
    <t>Prihod od pružanja usluga-E učionica</t>
  </si>
  <si>
    <t xml:space="preserve">Troškovi promidžbe - MARC </t>
  </si>
  <si>
    <t xml:space="preserve">Usluga održavanja web stranice - MARC </t>
  </si>
  <si>
    <t>Ostale vanjske usluge - MARC</t>
  </si>
  <si>
    <t>14.</t>
  </si>
  <si>
    <t>15.</t>
  </si>
  <si>
    <t>16.</t>
  </si>
  <si>
    <t>17.</t>
  </si>
  <si>
    <t>18.</t>
  </si>
  <si>
    <t>19.</t>
  </si>
  <si>
    <t>Troškovi rezerviranja za godišnje odmore</t>
  </si>
  <si>
    <t>REZERVIRANJA</t>
  </si>
  <si>
    <t>20.</t>
  </si>
  <si>
    <t>21.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</si>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</sst>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0" fillId="0" borderId="1" xfId="0" applyNumberFormat="1" applyBorder="1"/>
    <xf numFmtId="0" fontId="0" fillId="2" borderId="1" xfId="0" applyFill="1" applyBorder="1"/>
    <xf numFmtId="4" fontId="3" fillId="2" borderId="1" xfId="0" applyNumberFormat="1" applyFont="1" applyFill="1" applyBorder="1" applyAlignment="1">
      <alignment horizontal="right"/>
    </xf>
    <xf numFmtId="4" fontId="0" fillId="0" borderId="0" xfId="0" applyNumberFormat="1"/>
    <xf numFmtId="10" fontId="0" fillId="0" borderId="0" xfId="1" applyNumberFormat="1" applyFont="1"/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 vertical="center"/>
    </xf>
    <xf numFmtId="164" fontId="0" fillId="0" borderId="0" xfId="1" applyNumberFormat="1" applyFont="1"/>
    <xf numFmtId="0" fontId="0" fillId="0" borderId="3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/>
    <xf numFmtId="4" fontId="2" fillId="2" borderId="1" xfId="0" applyNumberFormat="1" applyFont="1" applyFill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5" xfId="0" applyBorder="1"/>
    <xf numFmtId="0" fontId="0" fillId="0" borderId="6" xfId="0" applyBorder="1"/>
    <xf numFmtId="4" fontId="2" fillId="0" borderId="1" xfId="0" applyNumberFormat="1" applyFont="1" applyBorder="1"/>
    <xf numFmtId="4" fontId="0" fillId="2" borderId="1" xfId="0" applyNumberFormat="1" applyFill="1" applyBorder="1"/>
    <xf numFmtId="10" fontId="0" fillId="0" borderId="0" xfId="0" applyNumberFormat="1"/>
    <xf numFmtId="2" fontId="0" fillId="0" borderId="0" xfId="0" applyNumberFormat="1"/>
    <xf numFmtId="0" fontId="0" fillId="3" borderId="1" xfId="0" applyFill="1" applyBorder="1" applyAlignment="1">
      <alignment horizontal="left"/>
    </xf>
    <xf numFmtId="0" fontId="4" fillId="3" borderId="1" xfId="0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4" fillId="4" borderId="1" xfId="0" applyFont="1" applyFill="1" applyBorder="1"/>
    <xf numFmtId="4" fontId="0" fillId="4" borderId="1" xfId="0" applyNumberFormat="1" applyFill="1" applyBorder="1"/>
    <xf numFmtId="0" fontId="4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0" fontId="4" fillId="4" borderId="1" xfId="0" applyFont="1" applyFill="1" applyBorder="1" applyAlignment="1">
      <alignment horizontal="left"/>
    </xf>
    <xf numFmtId="4" fontId="0" fillId="4" borderId="1" xfId="0" applyNumberFormat="1" applyFill="1" applyBorder="1" applyAlignment="1">
      <alignment horizontal="right"/>
    </xf>
    <xf numFmtId="0" fontId="4" fillId="4" borderId="1" xfId="0" applyFont="1" applyFill="1" applyBorder="1" applyAlignment="1">
      <alignment horizontal="left" vertical="center" wrapText="1"/>
    </xf>
    <xf numFmtId="4" fontId="0" fillId="4" borderId="1" xfId="0" applyNumberForma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675F-E08C-46CF-B81A-EF1FC34578E8}">
  <sheetPr>
    <pageSetUpPr fitToPage="1"/>
  </sheetPr>
  <dimension ref="A1:P167"/>
  <sheetViews>
    <sheetView tabSelected="1" topLeftCell="A124" zoomScaleNormal="100" zoomScaleSheetLayoutView="100" workbookViewId="0">
      <selection sqref="A1:G167"/>
    </sheetView>
  </sheetViews>
  <sheetFormatPr defaultRowHeight="14.25" x14ac:dyDescent="0.45"/>
  <cols>
    <col min="1" max="1" width="12.73046875" customWidth="1"/>
    <col min="2" max="2" width="91.265625" customWidth="1"/>
    <col min="3" max="3" width="21.1328125" customWidth="1"/>
    <col min="4" max="4" width="15.1328125" customWidth="1"/>
    <col min="5" max="5" width="14.73046875" hidden="1" customWidth="1"/>
    <col min="6" max="6" width="12" bestFit="1" customWidth="1"/>
    <col min="7" max="7" width="12.73046875" customWidth="1"/>
    <col min="8" max="8" width="11" customWidth="1"/>
    <col min="9" max="9" width="39.1328125" customWidth="1"/>
    <col min="10" max="10" width="9.73046875" bestFit="1" customWidth="1"/>
    <col min="11" max="11" width="14.1328125" customWidth="1"/>
    <col min="12" max="12" width="15.1328125" customWidth="1"/>
    <col min="14" max="14" width="18.73046875" customWidth="1"/>
    <col min="15" max="15" width="11.73046875" customWidth="1"/>
  </cols>
  <sheetData>
    <row r="1" spans="1:14" x14ac:dyDescent="0.4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201</v>
      </c>
      <c r="G1" s="2" t="s">
        <v>202</v>
      </c>
      <c r="H1" s="84" t="s">
        <v>218</v>
      </c>
    </row>
    <row r="2" spans="1:14" x14ac:dyDescent="0.45">
      <c r="A2" s="3">
        <v>4</v>
      </c>
      <c r="B2" s="1" t="s">
        <v>5</v>
      </c>
      <c r="C2" s="1"/>
      <c r="D2" s="4">
        <f>D3+D16+D75+D82+D86+D90+D119+D123</f>
        <v>1435361.46</v>
      </c>
      <c r="E2" s="4">
        <f>E3+E16+E75+E82+E86+E90+E119+E123</f>
        <v>586488.38999999978</v>
      </c>
      <c r="F2" s="4">
        <f>F3+F16+F75+F82+F86+F90+F119+F123</f>
        <v>31190</v>
      </c>
      <c r="G2" s="4">
        <f>G3+G16+G75+G82+G86+G90+G119+G123+G88</f>
        <v>1471551.46</v>
      </c>
      <c r="H2" s="85"/>
    </row>
    <row r="3" spans="1:14" x14ac:dyDescent="0.45">
      <c r="A3" s="5" t="s">
        <v>6</v>
      </c>
      <c r="B3" s="5" t="s">
        <v>7</v>
      </c>
      <c r="C3" s="5"/>
      <c r="D3" s="6">
        <f>SUM(D4:D15)</f>
        <v>43450</v>
      </c>
      <c r="E3" s="6">
        <f>SUM(E4:E15)</f>
        <v>21265.08</v>
      </c>
      <c r="F3" s="6">
        <f>SUM(F4:F15)</f>
        <v>0</v>
      </c>
      <c r="G3" s="6">
        <f>SUM(G4:G15)</f>
        <v>43450</v>
      </c>
      <c r="H3" s="6"/>
      <c r="J3" s="7"/>
      <c r="K3" s="7"/>
      <c r="L3" s="7"/>
      <c r="N3" s="8"/>
    </row>
    <row r="4" spans="1:14" x14ac:dyDescent="0.45">
      <c r="A4" s="9" t="s">
        <v>8</v>
      </c>
      <c r="B4" s="9" t="s">
        <v>9</v>
      </c>
      <c r="C4" s="10" t="s">
        <v>10</v>
      </c>
      <c r="D4" s="4">
        <f>3000-500</f>
        <v>2500</v>
      </c>
      <c r="E4" s="4">
        <f>916.17+266.92</f>
        <v>1183.0899999999999</v>
      </c>
      <c r="F4" s="4"/>
      <c r="G4" s="4">
        <f>3000-500</f>
        <v>2500</v>
      </c>
      <c r="H4" s="53"/>
      <c r="J4" s="7"/>
      <c r="K4" s="7"/>
      <c r="L4" s="7"/>
      <c r="N4" s="8"/>
    </row>
    <row r="5" spans="1:14" x14ac:dyDescent="0.45">
      <c r="A5" s="9">
        <v>4010</v>
      </c>
      <c r="B5" s="9" t="s">
        <v>12</v>
      </c>
      <c r="C5" s="11" t="s">
        <v>13</v>
      </c>
      <c r="D5" s="4">
        <v>2500</v>
      </c>
      <c r="E5" s="4">
        <v>252.7</v>
      </c>
      <c r="F5" s="4"/>
      <c r="G5" s="4">
        <v>2500</v>
      </c>
      <c r="H5" s="53"/>
      <c r="I5" s="12"/>
      <c r="J5" s="7"/>
      <c r="K5" s="7"/>
      <c r="L5" s="7"/>
      <c r="N5" s="8"/>
    </row>
    <row r="6" spans="1:14" x14ac:dyDescent="0.45">
      <c r="A6" s="9">
        <v>4014</v>
      </c>
      <c r="B6" s="9" t="s">
        <v>15</v>
      </c>
      <c r="C6" s="11" t="s">
        <v>13</v>
      </c>
      <c r="D6" s="4">
        <v>350</v>
      </c>
      <c r="E6" s="4">
        <v>181.71</v>
      </c>
      <c r="F6" s="4"/>
      <c r="G6" s="4">
        <v>350</v>
      </c>
      <c r="H6" s="53"/>
      <c r="J6" s="7"/>
      <c r="K6" s="7"/>
      <c r="L6" s="7"/>
      <c r="N6" s="8"/>
    </row>
    <row r="7" spans="1:14" x14ac:dyDescent="0.45">
      <c r="A7" s="13">
        <v>4017</v>
      </c>
      <c r="B7" s="14" t="s">
        <v>17</v>
      </c>
      <c r="C7" s="11" t="s">
        <v>13</v>
      </c>
      <c r="D7" s="4">
        <v>500</v>
      </c>
      <c r="E7" s="4">
        <v>0</v>
      </c>
      <c r="F7" s="4"/>
      <c r="G7" s="4">
        <v>500</v>
      </c>
      <c r="H7" s="53"/>
      <c r="J7" s="7"/>
      <c r="K7" s="7"/>
      <c r="L7" s="7"/>
      <c r="N7" s="8"/>
    </row>
    <row r="8" spans="1:14" x14ac:dyDescent="0.45">
      <c r="A8" s="70">
        <v>4019</v>
      </c>
      <c r="B8" s="77" t="s">
        <v>19</v>
      </c>
      <c r="C8" s="11" t="s">
        <v>13</v>
      </c>
      <c r="D8" s="4">
        <v>200</v>
      </c>
      <c r="E8" s="4">
        <v>0</v>
      </c>
      <c r="F8" s="4"/>
      <c r="G8" s="4">
        <v>200</v>
      </c>
      <c r="H8" s="53"/>
      <c r="J8" s="7"/>
      <c r="K8" s="7"/>
      <c r="L8" s="7"/>
      <c r="N8" s="16"/>
    </row>
    <row r="9" spans="1:14" x14ac:dyDescent="0.45">
      <c r="A9" s="74"/>
      <c r="B9" s="78"/>
      <c r="C9" s="11" t="s">
        <v>10</v>
      </c>
      <c r="D9" s="4">
        <v>400</v>
      </c>
      <c r="E9" s="4">
        <v>0</v>
      </c>
      <c r="F9" s="4"/>
      <c r="G9" s="4">
        <v>400</v>
      </c>
      <c r="H9" s="53"/>
      <c r="J9" s="7"/>
      <c r="K9" s="7"/>
      <c r="L9" s="7"/>
      <c r="N9" s="8"/>
    </row>
    <row r="10" spans="1:14" x14ac:dyDescent="0.45">
      <c r="A10" s="14" t="s">
        <v>21</v>
      </c>
      <c r="B10" s="11" t="s">
        <v>22</v>
      </c>
      <c r="C10" s="11" t="s">
        <v>13</v>
      </c>
      <c r="D10" s="4">
        <v>5000</v>
      </c>
      <c r="E10" s="4">
        <v>4186.76</v>
      </c>
      <c r="F10" s="4"/>
      <c r="G10" s="4">
        <v>5000</v>
      </c>
      <c r="H10" s="53"/>
      <c r="J10" s="7"/>
      <c r="K10" s="7"/>
      <c r="L10" s="7"/>
    </row>
    <row r="11" spans="1:14" x14ac:dyDescent="0.45">
      <c r="A11" s="80" t="s">
        <v>23</v>
      </c>
      <c r="B11" s="80" t="s">
        <v>24</v>
      </c>
      <c r="C11" s="11" t="s">
        <v>10</v>
      </c>
      <c r="D11" s="4">
        <v>17000</v>
      </c>
      <c r="E11" s="4">
        <v>12322.01</v>
      </c>
      <c r="F11" s="4"/>
      <c r="G11" s="4">
        <v>17000</v>
      </c>
      <c r="H11" s="53"/>
      <c r="L11" s="7"/>
    </row>
    <row r="12" spans="1:14" x14ac:dyDescent="0.45">
      <c r="A12" s="80"/>
      <c r="B12" s="80"/>
      <c r="C12" s="11" t="s">
        <v>13</v>
      </c>
      <c r="D12" s="4">
        <f>18000-13000</f>
        <v>5000</v>
      </c>
      <c r="E12" s="4">
        <v>0</v>
      </c>
      <c r="F12" s="4"/>
      <c r="G12" s="4">
        <f>18000-13000</f>
        <v>5000</v>
      </c>
      <c r="H12" s="53"/>
    </row>
    <row r="13" spans="1:14" x14ac:dyDescent="0.45">
      <c r="A13" s="70" t="s">
        <v>25</v>
      </c>
      <c r="B13" s="70" t="s">
        <v>26</v>
      </c>
      <c r="C13" s="11" t="s">
        <v>10</v>
      </c>
      <c r="D13" s="4">
        <v>5000</v>
      </c>
      <c r="E13" s="4">
        <f>2483.89+44.33</f>
        <v>2528.2199999999998</v>
      </c>
      <c r="F13" s="4"/>
      <c r="G13" s="4">
        <v>5000</v>
      </c>
      <c r="H13" s="53"/>
    </row>
    <row r="14" spans="1:14" x14ac:dyDescent="0.45">
      <c r="A14" s="74"/>
      <c r="B14" s="74"/>
      <c r="C14" s="11" t="s">
        <v>13</v>
      </c>
      <c r="D14" s="4">
        <f>12500-10000</f>
        <v>2500</v>
      </c>
      <c r="E14" s="4">
        <v>0</v>
      </c>
      <c r="F14" s="4"/>
      <c r="G14" s="4">
        <f>12500-10000</f>
        <v>2500</v>
      </c>
      <c r="H14" s="53"/>
    </row>
    <row r="15" spans="1:14" x14ac:dyDescent="0.45">
      <c r="A15" s="18" t="s">
        <v>27</v>
      </c>
      <c r="B15" s="11" t="s">
        <v>28</v>
      </c>
      <c r="C15" s="11" t="s">
        <v>13</v>
      </c>
      <c r="D15" s="4">
        <v>2500</v>
      </c>
      <c r="E15" s="4">
        <v>610.59</v>
      </c>
      <c r="F15" s="4"/>
      <c r="G15" s="4">
        <v>2500</v>
      </c>
      <c r="H15" s="53"/>
    </row>
    <row r="16" spans="1:14" x14ac:dyDescent="0.45">
      <c r="A16" s="5" t="s">
        <v>29</v>
      </c>
      <c r="B16" s="5" t="s">
        <v>11</v>
      </c>
      <c r="C16" s="5"/>
      <c r="D16" s="6">
        <f>SUM(D17:D74)</f>
        <v>891708</v>
      </c>
      <c r="E16" s="6">
        <f>SUM(E17:E74)</f>
        <v>377033.96999999991</v>
      </c>
      <c r="F16" s="6">
        <f>SUM(F17:F74)</f>
        <v>17990</v>
      </c>
      <c r="G16" s="6">
        <f>SUM(G17:G74)</f>
        <v>909698</v>
      </c>
      <c r="H16" s="54"/>
    </row>
    <row r="17" spans="1:8" x14ac:dyDescent="0.45">
      <c r="A17" s="14" t="s">
        <v>30</v>
      </c>
      <c r="B17" s="11" t="s">
        <v>31</v>
      </c>
      <c r="C17" s="11" t="s">
        <v>13</v>
      </c>
      <c r="D17" s="4">
        <v>10060</v>
      </c>
      <c r="E17" s="4">
        <v>4414.41</v>
      </c>
      <c r="F17" s="4"/>
      <c r="G17" s="4">
        <v>10060</v>
      </c>
      <c r="H17" s="53"/>
    </row>
    <row r="18" spans="1:8" x14ac:dyDescent="0.45">
      <c r="A18" s="14" t="s">
        <v>32</v>
      </c>
      <c r="B18" s="14" t="s">
        <v>33</v>
      </c>
      <c r="C18" s="11" t="s">
        <v>13</v>
      </c>
      <c r="D18" s="4">
        <v>250</v>
      </c>
      <c r="E18" s="4">
        <v>99.52</v>
      </c>
      <c r="F18" s="4"/>
      <c r="G18" s="4">
        <v>250</v>
      </c>
      <c r="H18" s="53"/>
    </row>
    <row r="19" spans="1:8" x14ac:dyDescent="0.45">
      <c r="A19" s="14" t="s">
        <v>34</v>
      </c>
      <c r="B19" s="11" t="s">
        <v>35</v>
      </c>
      <c r="C19" s="11" t="s">
        <v>13</v>
      </c>
      <c r="D19" s="4">
        <v>3000</v>
      </c>
      <c r="E19" s="4">
        <v>2500</v>
      </c>
      <c r="F19" s="4"/>
      <c r="G19" s="4">
        <v>3000</v>
      </c>
      <c r="H19" s="53"/>
    </row>
    <row r="20" spans="1:8" x14ac:dyDescent="0.45">
      <c r="A20" s="86">
        <v>4119</v>
      </c>
      <c r="B20" s="75" t="s">
        <v>36</v>
      </c>
      <c r="C20" s="11" t="s">
        <v>37</v>
      </c>
      <c r="D20" s="4">
        <v>9120.4</v>
      </c>
      <c r="E20" s="4">
        <v>9120.4</v>
      </c>
      <c r="F20" s="4"/>
      <c r="G20" s="4">
        <v>9120.4</v>
      </c>
      <c r="H20" s="53"/>
    </row>
    <row r="21" spans="1:8" x14ac:dyDescent="0.45">
      <c r="A21" s="87"/>
      <c r="B21" s="76"/>
      <c r="C21" s="11" t="s">
        <v>13</v>
      </c>
      <c r="D21" s="4">
        <v>1279.5999999999999</v>
      </c>
      <c r="E21" s="4">
        <v>1265.56</v>
      </c>
      <c r="F21" s="4"/>
      <c r="G21" s="4">
        <v>1279.5999999999999</v>
      </c>
      <c r="H21" s="53"/>
    </row>
    <row r="22" spans="1:8" x14ac:dyDescent="0.45">
      <c r="A22" s="70">
        <v>4119</v>
      </c>
      <c r="B22" s="75" t="s">
        <v>38</v>
      </c>
      <c r="C22" s="11" t="s">
        <v>37</v>
      </c>
      <c r="D22" s="4">
        <v>13680.6</v>
      </c>
      <c r="E22" s="4">
        <v>0</v>
      </c>
      <c r="F22" s="4"/>
      <c r="G22" s="4">
        <v>13680.6</v>
      </c>
      <c r="H22" s="53"/>
    </row>
    <row r="23" spans="1:8" x14ac:dyDescent="0.45">
      <c r="A23" s="74"/>
      <c r="B23" s="76"/>
      <c r="C23" s="11" t="s">
        <v>13</v>
      </c>
      <c r="D23" s="4">
        <v>1919.4</v>
      </c>
      <c r="E23" s="4">
        <v>0</v>
      </c>
      <c r="F23" s="4"/>
      <c r="G23" s="4">
        <v>1919.4</v>
      </c>
      <c r="H23" s="53"/>
    </row>
    <row r="24" spans="1:8" x14ac:dyDescent="0.45">
      <c r="A24" s="13">
        <v>4119</v>
      </c>
      <c r="B24" s="23" t="s">
        <v>39</v>
      </c>
      <c r="C24" s="11" t="s">
        <v>13</v>
      </c>
      <c r="D24" s="4">
        <v>8100</v>
      </c>
      <c r="E24" s="4">
        <v>0</v>
      </c>
      <c r="F24" s="4"/>
      <c r="G24" s="4">
        <v>8100</v>
      </c>
      <c r="H24" s="53"/>
    </row>
    <row r="25" spans="1:8" x14ac:dyDescent="0.45">
      <c r="A25" s="21">
        <v>4119</v>
      </c>
      <c r="B25" s="22" t="s">
        <v>40</v>
      </c>
      <c r="C25" s="11" t="s">
        <v>41</v>
      </c>
      <c r="D25" s="4">
        <v>5000</v>
      </c>
      <c r="E25" s="4">
        <v>4065</v>
      </c>
      <c r="F25" s="4"/>
      <c r="G25" s="4">
        <v>5000</v>
      </c>
      <c r="H25" s="53"/>
    </row>
    <row r="26" spans="1:8" x14ac:dyDescent="0.45">
      <c r="A26" s="21">
        <v>4119</v>
      </c>
      <c r="B26" s="22" t="s">
        <v>42</v>
      </c>
      <c r="C26" s="61" t="s">
        <v>43</v>
      </c>
      <c r="D26" s="62">
        <v>0</v>
      </c>
      <c r="E26" s="62">
        <v>690</v>
      </c>
      <c r="F26" s="62">
        <v>3040</v>
      </c>
      <c r="G26" s="62">
        <f>690+2350</f>
        <v>3040</v>
      </c>
      <c r="H26" s="53" t="s">
        <v>214</v>
      </c>
    </row>
    <row r="27" spans="1:8" x14ac:dyDescent="0.45">
      <c r="A27" s="21">
        <v>4119</v>
      </c>
      <c r="B27" s="22" t="s">
        <v>44</v>
      </c>
      <c r="C27" s="61" t="s">
        <v>13</v>
      </c>
      <c r="D27" s="62">
        <v>19500</v>
      </c>
      <c r="E27" s="62">
        <f>13450+1000+1000</f>
        <v>15450</v>
      </c>
      <c r="F27" s="62">
        <v>2650</v>
      </c>
      <c r="G27" s="62">
        <f>19500+2650</f>
        <v>22150</v>
      </c>
      <c r="H27" s="53" t="s">
        <v>215</v>
      </c>
    </row>
    <row r="28" spans="1:8" x14ac:dyDescent="0.45">
      <c r="A28" s="21">
        <v>4119</v>
      </c>
      <c r="B28" s="22" t="s">
        <v>224</v>
      </c>
      <c r="C28" s="61" t="s">
        <v>219</v>
      </c>
      <c r="D28" s="62">
        <v>0</v>
      </c>
      <c r="E28" s="62">
        <v>0</v>
      </c>
      <c r="F28" s="62">
        <v>8000</v>
      </c>
      <c r="G28" s="62">
        <v>8000</v>
      </c>
      <c r="H28" s="53" t="s">
        <v>216</v>
      </c>
    </row>
    <row r="29" spans="1:8" x14ac:dyDescent="0.45">
      <c r="A29" s="9">
        <v>4119</v>
      </c>
      <c r="B29" s="10" t="s">
        <v>45</v>
      </c>
      <c r="C29" s="11" t="s">
        <v>46</v>
      </c>
      <c r="D29" s="4">
        <v>9000</v>
      </c>
      <c r="E29" s="4">
        <v>1200</v>
      </c>
      <c r="F29" s="4"/>
      <c r="G29" s="4">
        <v>9000</v>
      </c>
      <c r="H29" s="53"/>
    </row>
    <row r="30" spans="1:8" x14ac:dyDescent="0.45">
      <c r="A30" s="24">
        <v>41201</v>
      </c>
      <c r="B30" s="10" t="s">
        <v>47</v>
      </c>
      <c r="C30" s="11" t="s">
        <v>10</v>
      </c>
      <c r="D30" s="4">
        <f>5000+2000</f>
        <v>7000</v>
      </c>
      <c r="E30" s="4">
        <v>2071.7800000000002</v>
      </c>
      <c r="F30" s="4"/>
      <c r="G30" s="4">
        <f>5000+2000</f>
        <v>7000</v>
      </c>
      <c r="H30" s="53"/>
    </row>
    <row r="31" spans="1:8" x14ac:dyDescent="0.45">
      <c r="A31" s="25" t="s">
        <v>48</v>
      </c>
      <c r="B31" s="20" t="s">
        <v>49</v>
      </c>
      <c r="C31" s="10" t="s">
        <v>10</v>
      </c>
      <c r="D31" s="26">
        <f>21350+4000</f>
        <v>25350</v>
      </c>
      <c r="E31" s="26">
        <f>6327.52+65.06-150.38</f>
        <v>6242.2000000000007</v>
      </c>
      <c r="F31" s="26"/>
      <c r="G31" s="26">
        <f>21350+4000</f>
        <v>25350</v>
      </c>
      <c r="H31" s="53"/>
    </row>
    <row r="32" spans="1:8" x14ac:dyDescent="0.45">
      <c r="A32" s="9">
        <v>4122</v>
      </c>
      <c r="B32" s="10" t="s">
        <v>50</v>
      </c>
      <c r="C32" s="10" t="s">
        <v>10</v>
      </c>
      <c r="D32" s="4">
        <v>18500</v>
      </c>
      <c r="E32" s="4">
        <v>7380</v>
      </c>
      <c r="F32" s="4"/>
      <c r="G32" s="4">
        <v>18500</v>
      </c>
      <c r="H32" s="53"/>
    </row>
    <row r="33" spans="1:8" x14ac:dyDescent="0.45">
      <c r="A33" s="9">
        <v>4122</v>
      </c>
      <c r="B33" s="10" t="s">
        <v>51</v>
      </c>
      <c r="C33" s="10" t="s">
        <v>10</v>
      </c>
      <c r="D33" s="4">
        <v>3500</v>
      </c>
      <c r="E33" s="4">
        <v>0</v>
      </c>
      <c r="F33" s="4"/>
      <c r="G33" s="4">
        <v>3500</v>
      </c>
      <c r="H33" s="53"/>
    </row>
    <row r="34" spans="1:8" ht="43.5" customHeight="1" x14ac:dyDescent="0.45">
      <c r="A34" s="15">
        <v>4123</v>
      </c>
      <c r="B34" s="27" t="s">
        <v>52</v>
      </c>
      <c r="C34" s="63" t="s">
        <v>13</v>
      </c>
      <c r="D34" s="64">
        <f>5730+500</f>
        <v>6230</v>
      </c>
      <c r="E34" s="64">
        <v>4616.92</v>
      </c>
      <c r="F34" s="64">
        <v>2000</v>
      </c>
      <c r="G34" s="64">
        <f>5730+500+2000</f>
        <v>8230</v>
      </c>
      <c r="H34" s="52" t="s">
        <v>217</v>
      </c>
    </row>
    <row r="35" spans="1:8" x14ac:dyDescent="0.45">
      <c r="A35" s="60">
        <v>4123</v>
      </c>
      <c r="B35" s="27" t="s">
        <v>53</v>
      </c>
      <c r="C35" s="61" t="s">
        <v>41</v>
      </c>
      <c r="D35" s="64">
        <v>4400</v>
      </c>
      <c r="E35" s="64">
        <v>1449.78</v>
      </c>
      <c r="F35" s="64"/>
      <c r="G35" s="64">
        <f>4400</f>
        <v>4400</v>
      </c>
      <c r="H35" s="53"/>
    </row>
    <row r="36" spans="1:8" x14ac:dyDescent="0.45">
      <c r="A36" s="17">
        <v>4123</v>
      </c>
      <c r="B36" s="27" t="s">
        <v>223</v>
      </c>
      <c r="C36" s="61" t="s">
        <v>219</v>
      </c>
      <c r="D36" s="64">
        <v>0</v>
      </c>
      <c r="E36" s="64">
        <v>0</v>
      </c>
      <c r="F36" s="64">
        <v>200</v>
      </c>
      <c r="G36" s="64">
        <v>200</v>
      </c>
      <c r="H36" s="53" t="s">
        <v>225</v>
      </c>
    </row>
    <row r="37" spans="1:8" x14ac:dyDescent="0.45">
      <c r="A37" s="28" t="s">
        <v>54</v>
      </c>
      <c r="B37" s="29" t="s">
        <v>55</v>
      </c>
      <c r="C37" s="61" t="s">
        <v>13</v>
      </c>
      <c r="D37" s="62">
        <v>700</v>
      </c>
      <c r="E37" s="62">
        <v>420.81</v>
      </c>
      <c r="F37" s="62"/>
      <c r="G37" s="62">
        <v>700</v>
      </c>
      <c r="H37" s="53"/>
    </row>
    <row r="38" spans="1:8" x14ac:dyDescent="0.45">
      <c r="A38" s="70" t="s">
        <v>56</v>
      </c>
      <c r="B38" s="11" t="s">
        <v>57</v>
      </c>
      <c r="C38" s="63" t="s">
        <v>10</v>
      </c>
      <c r="D38" s="62">
        <v>1300</v>
      </c>
      <c r="E38" s="62">
        <v>1030</v>
      </c>
      <c r="F38" s="62"/>
      <c r="G38" s="62">
        <v>1300</v>
      </c>
      <c r="H38" s="53"/>
    </row>
    <row r="39" spans="1:8" ht="15" customHeight="1" x14ac:dyDescent="0.45">
      <c r="A39" s="74"/>
      <c r="B39" s="11" t="s">
        <v>58</v>
      </c>
      <c r="C39" s="61" t="s">
        <v>13</v>
      </c>
      <c r="D39" s="62">
        <v>630</v>
      </c>
      <c r="E39" s="62">
        <v>240</v>
      </c>
      <c r="F39" s="62"/>
      <c r="G39" s="62">
        <v>630</v>
      </c>
      <c r="H39" s="53"/>
    </row>
    <row r="40" spans="1:8" x14ac:dyDescent="0.45">
      <c r="A40" s="14" t="s">
        <v>59</v>
      </c>
      <c r="B40" s="14" t="s">
        <v>60</v>
      </c>
      <c r="C40" s="61" t="s">
        <v>13</v>
      </c>
      <c r="D40" s="62">
        <v>180</v>
      </c>
      <c r="E40" s="62">
        <v>189.8</v>
      </c>
      <c r="F40" s="62"/>
      <c r="G40" s="62">
        <v>180</v>
      </c>
      <c r="H40" s="53"/>
    </row>
    <row r="41" spans="1:8" x14ac:dyDescent="0.45">
      <c r="A41" s="14" t="s">
        <v>61</v>
      </c>
      <c r="B41" s="11" t="s">
        <v>62</v>
      </c>
      <c r="C41" s="61" t="s">
        <v>13</v>
      </c>
      <c r="D41" s="62">
        <v>12698</v>
      </c>
      <c r="E41" s="62">
        <f>5690.6-400+1058.12</f>
        <v>6348.72</v>
      </c>
      <c r="F41" s="62"/>
      <c r="G41" s="62">
        <v>12698</v>
      </c>
      <c r="H41" s="53"/>
    </row>
    <row r="42" spans="1:8" x14ac:dyDescent="0.45">
      <c r="A42" s="70">
        <v>4141</v>
      </c>
      <c r="B42" s="77" t="s">
        <v>63</v>
      </c>
      <c r="C42" s="61" t="s">
        <v>13</v>
      </c>
      <c r="D42" s="62">
        <v>32000</v>
      </c>
      <c r="E42" s="62">
        <f>400+12840-3600</f>
        <v>9640</v>
      </c>
      <c r="F42" s="62">
        <v>-22000</v>
      </c>
      <c r="G42" s="62">
        <f>32000-22000</f>
        <v>10000</v>
      </c>
      <c r="H42" s="83" t="s">
        <v>226</v>
      </c>
    </row>
    <row r="43" spans="1:8" x14ac:dyDescent="0.45">
      <c r="A43" s="74"/>
      <c r="B43" s="78"/>
      <c r="C43" s="61" t="s">
        <v>43</v>
      </c>
      <c r="D43" s="62">
        <v>0</v>
      </c>
      <c r="E43" s="62">
        <v>3600</v>
      </c>
      <c r="F43" s="62">
        <v>3600</v>
      </c>
      <c r="G43" s="62">
        <v>3600</v>
      </c>
      <c r="H43" s="83"/>
    </row>
    <row r="44" spans="1:8" x14ac:dyDescent="0.45">
      <c r="A44" s="14" t="s">
        <v>64</v>
      </c>
      <c r="B44" s="11" t="s">
        <v>65</v>
      </c>
      <c r="C44" s="61" t="s">
        <v>13</v>
      </c>
      <c r="D44" s="62">
        <v>3300</v>
      </c>
      <c r="E44" s="62">
        <v>1522.64</v>
      </c>
      <c r="F44" s="62"/>
      <c r="G44" s="62">
        <v>3300</v>
      </c>
      <c r="H44" s="53"/>
    </row>
    <row r="45" spans="1:8" x14ac:dyDescent="0.45">
      <c r="A45" s="13">
        <v>41492</v>
      </c>
      <c r="B45" s="11" t="s">
        <v>66</v>
      </c>
      <c r="C45" s="61" t="s">
        <v>13</v>
      </c>
      <c r="D45" s="62">
        <v>2800</v>
      </c>
      <c r="E45" s="62">
        <f>1618.16+50</f>
        <v>1668.16</v>
      </c>
      <c r="F45" s="62">
        <v>300</v>
      </c>
      <c r="G45" s="62">
        <f>2800+300</f>
        <v>3100</v>
      </c>
      <c r="H45" s="53" t="s">
        <v>227</v>
      </c>
    </row>
    <row r="46" spans="1:8" x14ac:dyDescent="0.45">
      <c r="A46" s="14" t="s">
        <v>67</v>
      </c>
      <c r="B46" s="11" t="s">
        <v>68</v>
      </c>
      <c r="C46" s="61" t="s">
        <v>41</v>
      </c>
      <c r="D46" s="62">
        <v>130</v>
      </c>
      <c r="E46" s="62">
        <v>130</v>
      </c>
      <c r="F46" s="62"/>
      <c r="G46" s="62">
        <v>130</v>
      </c>
      <c r="H46" s="53"/>
    </row>
    <row r="47" spans="1:8" ht="28.9" customHeight="1" x14ac:dyDescent="0.45">
      <c r="A47" s="15" t="s">
        <v>69</v>
      </c>
      <c r="B47" s="20" t="s">
        <v>70</v>
      </c>
      <c r="C47" s="63" t="s">
        <v>13</v>
      </c>
      <c r="D47" s="64">
        <v>8730</v>
      </c>
      <c r="E47" s="64">
        <v>5042.3999999999996</v>
      </c>
      <c r="F47" s="64"/>
      <c r="G47" s="64">
        <v>8730</v>
      </c>
      <c r="H47" s="53"/>
    </row>
    <row r="48" spans="1:8" ht="13.9" customHeight="1" x14ac:dyDescent="0.45">
      <c r="A48" s="15">
        <v>4150</v>
      </c>
      <c r="B48" s="20" t="s">
        <v>222</v>
      </c>
      <c r="C48" s="63" t="s">
        <v>219</v>
      </c>
      <c r="D48" s="64">
        <v>0</v>
      </c>
      <c r="E48" s="64">
        <v>0</v>
      </c>
      <c r="F48" s="64">
        <v>4700</v>
      </c>
      <c r="G48" s="64">
        <v>4700</v>
      </c>
      <c r="H48" s="53" t="s">
        <v>228</v>
      </c>
    </row>
    <row r="49" spans="1:8" ht="15" customHeight="1" x14ac:dyDescent="0.45">
      <c r="A49" s="15">
        <v>4150</v>
      </c>
      <c r="B49" s="20" t="s">
        <v>71</v>
      </c>
      <c r="C49" s="61" t="s">
        <v>41</v>
      </c>
      <c r="D49" s="62">
        <v>3000</v>
      </c>
      <c r="E49" s="62">
        <v>3000</v>
      </c>
      <c r="F49" s="62"/>
      <c r="G49" s="62">
        <v>3000</v>
      </c>
      <c r="H49" s="53"/>
    </row>
    <row r="50" spans="1:8" ht="15" customHeight="1" x14ac:dyDescent="0.45">
      <c r="A50" s="70">
        <v>4160</v>
      </c>
      <c r="B50" s="75" t="s">
        <v>72</v>
      </c>
      <c r="C50" s="61" t="s">
        <v>41</v>
      </c>
      <c r="D50" s="62">
        <v>1100</v>
      </c>
      <c r="E50" s="62">
        <v>1100</v>
      </c>
      <c r="F50" s="62"/>
      <c r="G50" s="62">
        <v>1100</v>
      </c>
      <c r="H50" s="53"/>
    </row>
    <row r="51" spans="1:8" ht="15" customHeight="1" x14ac:dyDescent="0.45">
      <c r="A51" s="74"/>
      <c r="B51" s="76"/>
      <c r="C51" s="61" t="s">
        <v>13</v>
      </c>
      <c r="D51" s="62">
        <v>0</v>
      </c>
      <c r="E51" s="62">
        <v>5474.28</v>
      </c>
      <c r="F51" s="62">
        <v>9000</v>
      </c>
      <c r="G51" s="62">
        <v>9000</v>
      </c>
      <c r="H51" s="53" t="s">
        <v>229</v>
      </c>
    </row>
    <row r="52" spans="1:8" ht="15" customHeight="1" x14ac:dyDescent="0.45">
      <c r="A52" s="9">
        <v>4162</v>
      </c>
      <c r="B52" s="27" t="s">
        <v>73</v>
      </c>
      <c r="C52" s="61" t="s">
        <v>13</v>
      </c>
      <c r="D52" s="62">
        <v>612000</v>
      </c>
      <c r="E52" s="62">
        <v>237885.24</v>
      </c>
      <c r="F52" s="62"/>
      <c r="G52" s="62">
        <v>612000</v>
      </c>
      <c r="H52" s="53"/>
    </row>
    <row r="53" spans="1:8" ht="15" customHeight="1" x14ac:dyDescent="0.45">
      <c r="A53" s="14" t="s">
        <v>74</v>
      </c>
      <c r="B53" s="14" t="s">
        <v>75</v>
      </c>
      <c r="C53" s="11" t="s">
        <v>13</v>
      </c>
      <c r="D53" s="4">
        <v>6600</v>
      </c>
      <c r="E53" s="4">
        <v>3300</v>
      </c>
      <c r="F53" s="4"/>
      <c r="G53" s="4">
        <v>6600</v>
      </c>
      <c r="H53" s="53"/>
    </row>
    <row r="54" spans="1:8" ht="15" customHeight="1" x14ac:dyDescent="0.45">
      <c r="A54" s="13">
        <v>41670</v>
      </c>
      <c r="B54" s="11" t="s">
        <v>76</v>
      </c>
      <c r="C54" s="11" t="s">
        <v>13</v>
      </c>
      <c r="D54" s="4">
        <v>4800</v>
      </c>
      <c r="E54" s="4">
        <v>2400</v>
      </c>
      <c r="F54" s="4"/>
      <c r="G54" s="4">
        <v>4800</v>
      </c>
      <c r="H54" s="53"/>
    </row>
    <row r="55" spans="1:8" ht="15" customHeight="1" x14ac:dyDescent="0.45">
      <c r="A55" s="13">
        <v>41671</v>
      </c>
      <c r="B55" s="11" t="s">
        <v>77</v>
      </c>
      <c r="C55" s="11" t="s">
        <v>13</v>
      </c>
      <c r="D55" s="4">
        <v>1300</v>
      </c>
      <c r="E55" s="4">
        <v>347.95</v>
      </c>
      <c r="F55" s="4"/>
      <c r="G55" s="4">
        <v>1300</v>
      </c>
      <c r="H55" s="53"/>
    </row>
    <row r="56" spans="1:8" ht="15" customHeight="1" x14ac:dyDescent="0.45">
      <c r="A56" s="19">
        <v>4169</v>
      </c>
      <c r="B56" s="30" t="s">
        <v>78</v>
      </c>
      <c r="C56" s="11" t="s">
        <v>13</v>
      </c>
      <c r="D56" s="4">
        <v>3800</v>
      </c>
      <c r="E56" s="4">
        <v>0</v>
      </c>
      <c r="F56" s="4"/>
      <c r="G56" s="4">
        <v>3800</v>
      </c>
      <c r="H56" s="53"/>
    </row>
    <row r="57" spans="1:8" ht="15" customHeight="1" x14ac:dyDescent="0.45">
      <c r="A57" s="70" t="s">
        <v>79</v>
      </c>
      <c r="B57" s="70" t="s">
        <v>80</v>
      </c>
      <c r="C57" s="14" t="s">
        <v>10</v>
      </c>
      <c r="D57" s="4">
        <v>5800</v>
      </c>
      <c r="E57" s="4">
        <v>4752.68</v>
      </c>
      <c r="F57" s="4"/>
      <c r="G57" s="4">
        <v>5800</v>
      </c>
      <c r="H57" s="53"/>
    </row>
    <row r="58" spans="1:8" ht="15" customHeight="1" x14ac:dyDescent="0.45">
      <c r="A58" s="74"/>
      <c r="B58" s="74"/>
      <c r="C58" s="11" t="s">
        <v>13</v>
      </c>
      <c r="D58" s="4">
        <v>4000</v>
      </c>
      <c r="E58" s="4">
        <v>0</v>
      </c>
      <c r="F58" s="4"/>
      <c r="G58" s="4">
        <v>4000</v>
      </c>
      <c r="H58" s="53"/>
    </row>
    <row r="59" spans="1:8" ht="15" customHeight="1" x14ac:dyDescent="0.45">
      <c r="A59" s="70" t="s">
        <v>81</v>
      </c>
      <c r="B59" s="77" t="s">
        <v>82</v>
      </c>
      <c r="C59" s="14" t="s">
        <v>10</v>
      </c>
      <c r="D59" s="4">
        <v>1400</v>
      </c>
      <c r="E59" s="4">
        <v>221.18</v>
      </c>
      <c r="F59" s="4"/>
      <c r="G59" s="4">
        <v>1400</v>
      </c>
      <c r="H59" s="53"/>
    </row>
    <row r="60" spans="1:8" ht="15" customHeight="1" x14ac:dyDescent="0.45">
      <c r="A60" s="74"/>
      <c r="B60" s="78"/>
      <c r="C60" s="11" t="s">
        <v>13</v>
      </c>
      <c r="D60" s="4">
        <v>800</v>
      </c>
      <c r="E60" s="4">
        <v>442.61</v>
      </c>
      <c r="F60" s="4"/>
      <c r="G60" s="4">
        <v>800</v>
      </c>
      <c r="H60" s="53"/>
    </row>
    <row r="61" spans="1:8" ht="15" customHeight="1" x14ac:dyDescent="0.45">
      <c r="A61" s="70" t="s">
        <v>83</v>
      </c>
      <c r="B61" s="70" t="s">
        <v>84</v>
      </c>
      <c r="C61" s="14" t="s">
        <v>10</v>
      </c>
      <c r="D61" s="4">
        <v>800</v>
      </c>
      <c r="E61" s="4">
        <v>344.67</v>
      </c>
      <c r="F61" s="4"/>
      <c r="G61" s="4">
        <v>800</v>
      </c>
      <c r="H61" s="53"/>
    </row>
    <row r="62" spans="1:8" ht="15" customHeight="1" x14ac:dyDescent="0.45">
      <c r="A62" s="74"/>
      <c r="B62" s="74"/>
      <c r="C62" s="11" t="s">
        <v>13</v>
      </c>
      <c r="D62" s="4">
        <v>500</v>
      </c>
      <c r="E62" s="4">
        <v>97.94</v>
      </c>
      <c r="F62" s="4"/>
      <c r="G62" s="4">
        <v>500</v>
      </c>
      <c r="H62" s="53"/>
    </row>
    <row r="63" spans="1:8" ht="30" customHeight="1" x14ac:dyDescent="0.45">
      <c r="A63" s="31" t="s">
        <v>85</v>
      </c>
      <c r="B63" s="27" t="s">
        <v>86</v>
      </c>
      <c r="C63" s="10" t="s">
        <v>10</v>
      </c>
      <c r="D63" s="26">
        <v>6350</v>
      </c>
      <c r="E63" s="26">
        <v>2366</v>
      </c>
      <c r="F63" s="26"/>
      <c r="G63" s="26">
        <v>6350</v>
      </c>
      <c r="H63" s="53"/>
    </row>
    <row r="64" spans="1:8" ht="15" customHeight="1" x14ac:dyDescent="0.45">
      <c r="A64" s="13">
        <v>4175</v>
      </c>
      <c r="B64" s="32" t="s">
        <v>87</v>
      </c>
      <c r="C64" s="11" t="s">
        <v>13</v>
      </c>
      <c r="D64" s="4">
        <v>200</v>
      </c>
      <c r="E64" s="4">
        <v>0</v>
      </c>
      <c r="F64" s="4"/>
      <c r="G64" s="4">
        <v>200</v>
      </c>
      <c r="H64" s="53"/>
    </row>
    <row r="65" spans="1:8" ht="15" customHeight="1" x14ac:dyDescent="0.45">
      <c r="A65" s="14" t="s">
        <v>88</v>
      </c>
      <c r="B65" s="14" t="s">
        <v>89</v>
      </c>
      <c r="C65" s="10" t="s">
        <v>10</v>
      </c>
      <c r="D65" s="4">
        <v>400</v>
      </c>
      <c r="E65" s="4">
        <v>150.38</v>
      </c>
      <c r="F65" s="4"/>
      <c r="G65" s="4">
        <v>400</v>
      </c>
      <c r="H65" s="53"/>
    </row>
    <row r="66" spans="1:8" ht="15" customHeight="1" x14ac:dyDescent="0.45">
      <c r="A66" s="14" t="s">
        <v>90</v>
      </c>
      <c r="B66" s="11" t="s">
        <v>91</v>
      </c>
      <c r="C66" s="10" t="s">
        <v>10</v>
      </c>
      <c r="D66" s="4">
        <v>3700</v>
      </c>
      <c r="E66" s="4">
        <v>9.6</v>
      </c>
      <c r="F66" s="4"/>
      <c r="G66" s="4">
        <v>3700</v>
      </c>
      <c r="H66" s="53"/>
    </row>
    <row r="67" spans="1:8" ht="15" customHeight="1" x14ac:dyDescent="0.45">
      <c r="A67" s="72" t="s">
        <v>92</v>
      </c>
      <c r="B67" s="13" t="s">
        <v>93</v>
      </c>
      <c r="C67" s="65" t="s">
        <v>13</v>
      </c>
      <c r="D67" s="66">
        <v>6000</v>
      </c>
      <c r="E67" s="66">
        <v>8433.1200000000008</v>
      </c>
      <c r="F67" s="66">
        <f>5000</f>
        <v>5000</v>
      </c>
      <c r="G67" s="66">
        <f>6000+5000</f>
        <v>11000</v>
      </c>
      <c r="H67" s="53" t="s">
        <v>230</v>
      </c>
    </row>
    <row r="68" spans="1:8" ht="30.75" customHeight="1" x14ac:dyDescent="0.45">
      <c r="A68" s="73"/>
      <c r="B68" s="9" t="s">
        <v>94</v>
      </c>
      <c r="C68" s="67" t="s">
        <v>95</v>
      </c>
      <c r="D68" s="68">
        <v>1000</v>
      </c>
      <c r="E68" s="68">
        <v>473.36</v>
      </c>
      <c r="F68" s="68"/>
      <c r="G68" s="68">
        <v>1000</v>
      </c>
      <c r="H68" s="53"/>
    </row>
    <row r="69" spans="1:8" ht="15" customHeight="1" x14ac:dyDescent="0.45">
      <c r="A69" s="73"/>
      <c r="B69" s="13" t="s">
        <v>96</v>
      </c>
      <c r="C69" s="65" t="s">
        <v>13</v>
      </c>
      <c r="D69" s="66">
        <v>1000</v>
      </c>
      <c r="E69" s="66">
        <v>1110</v>
      </c>
      <c r="F69" s="66">
        <v>1500</v>
      </c>
      <c r="G69" s="66">
        <f>1000+1500</f>
        <v>2500</v>
      </c>
      <c r="H69" s="53" t="s">
        <v>230</v>
      </c>
    </row>
    <row r="70" spans="1:8" x14ac:dyDescent="0.45">
      <c r="A70" s="73"/>
      <c r="B70" s="13" t="s">
        <v>97</v>
      </c>
      <c r="C70" s="18" t="s">
        <v>13</v>
      </c>
      <c r="D70" s="50">
        <v>4500</v>
      </c>
      <c r="E70" s="50">
        <v>4500</v>
      </c>
      <c r="F70" s="50"/>
      <c r="G70" s="50">
        <v>4500</v>
      </c>
      <c r="H70" s="53"/>
    </row>
    <row r="71" spans="1:8" x14ac:dyDescent="0.45">
      <c r="A71" s="73"/>
      <c r="B71" s="9" t="s">
        <v>98</v>
      </c>
      <c r="C71" s="28" t="s">
        <v>41</v>
      </c>
      <c r="D71" s="34">
        <v>9000</v>
      </c>
      <c r="E71" s="34">
        <v>9000</v>
      </c>
      <c r="F71" s="34"/>
      <c r="G71" s="34">
        <v>9000</v>
      </c>
      <c r="H71" s="53"/>
    </row>
    <row r="72" spans="1:8" x14ac:dyDescent="0.45">
      <c r="A72" s="79"/>
      <c r="B72" s="13" t="s">
        <v>99</v>
      </c>
      <c r="C72" s="18" t="s">
        <v>13</v>
      </c>
      <c r="D72" s="50">
        <v>3000</v>
      </c>
      <c r="E72" s="50">
        <v>760</v>
      </c>
      <c r="F72" s="50"/>
      <c r="G72" s="50">
        <v>3000</v>
      </c>
      <c r="H72" s="53"/>
    </row>
    <row r="73" spans="1:8" x14ac:dyDescent="0.45">
      <c r="A73" s="14" t="s">
        <v>100</v>
      </c>
      <c r="B73" s="14" t="s">
        <v>101</v>
      </c>
      <c r="C73" s="11" t="s">
        <v>13</v>
      </c>
      <c r="D73" s="4">
        <v>300</v>
      </c>
      <c r="E73" s="4">
        <v>85.36</v>
      </c>
      <c r="F73" s="4"/>
      <c r="G73" s="4">
        <v>300</v>
      </c>
      <c r="H73" s="53"/>
    </row>
    <row r="74" spans="1:8" ht="51.75" customHeight="1" x14ac:dyDescent="0.45">
      <c r="A74" s="17">
        <v>4199</v>
      </c>
      <c r="B74" s="33" t="s">
        <v>102</v>
      </c>
      <c r="C74" s="10" t="s">
        <v>13</v>
      </c>
      <c r="D74" s="34">
        <f>4000-2000</f>
        <v>2000</v>
      </c>
      <c r="E74" s="34">
        <v>381.5</v>
      </c>
      <c r="F74" s="34"/>
      <c r="G74" s="34">
        <f>4000-2000</f>
        <v>2000</v>
      </c>
      <c r="H74" s="53"/>
    </row>
    <row r="75" spans="1:8" x14ac:dyDescent="0.45">
      <c r="A75" s="35">
        <v>42</v>
      </c>
      <c r="B75" s="36" t="s">
        <v>14</v>
      </c>
      <c r="C75" s="36"/>
      <c r="D75" s="6">
        <f>SUM(D76:D81)</f>
        <v>371138.46</v>
      </c>
      <c r="E75" s="6">
        <f>SUM(E76:E81)</f>
        <v>125043.22</v>
      </c>
      <c r="F75" s="6">
        <f>SUM(F76:F81)</f>
        <v>0</v>
      </c>
      <c r="G75" s="6">
        <f>SUM(G76:G81)</f>
        <v>371138.46</v>
      </c>
      <c r="H75" s="55"/>
    </row>
    <row r="76" spans="1:8" x14ac:dyDescent="0.45">
      <c r="A76" s="80"/>
      <c r="B76" s="80" t="s">
        <v>14</v>
      </c>
      <c r="C76" s="11" t="s">
        <v>41</v>
      </c>
      <c r="D76" s="4">
        <v>68275</v>
      </c>
      <c r="E76" s="4">
        <f>49262.09+76.2</f>
        <v>49338.289999999994</v>
      </c>
      <c r="F76" s="4"/>
      <c r="G76" s="4">
        <v>68275</v>
      </c>
      <c r="H76" s="53"/>
    </row>
    <row r="77" spans="1:8" x14ac:dyDescent="0.45">
      <c r="A77" s="80"/>
      <c r="B77" s="80"/>
      <c r="C77" s="11" t="s">
        <v>103</v>
      </c>
      <c r="D77" s="26">
        <v>24425.95</v>
      </c>
      <c r="E77" s="26">
        <v>0</v>
      </c>
      <c r="F77" s="26"/>
      <c r="G77" s="26">
        <v>24425.95</v>
      </c>
      <c r="H77" s="53"/>
    </row>
    <row r="78" spans="1:8" x14ac:dyDescent="0.45">
      <c r="A78" s="80"/>
      <c r="B78" s="80"/>
      <c r="C78" s="11" t="s">
        <v>10</v>
      </c>
      <c r="D78" s="4">
        <v>90330</v>
      </c>
      <c r="E78" s="4">
        <f>37484.71+16843.37</f>
        <v>54328.08</v>
      </c>
      <c r="F78" s="4"/>
      <c r="G78" s="4">
        <v>90330</v>
      </c>
      <c r="H78" s="53"/>
    </row>
    <row r="79" spans="1:8" x14ac:dyDescent="0.45">
      <c r="A79" s="80"/>
      <c r="B79" s="80"/>
      <c r="C79" s="61" t="s">
        <v>13</v>
      </c>
      <c r="D79" s="62">
        <v>167708.51</v>
      </c>
      <c r="E79" s="62">
        <f>30136.82-76.2-16843.37</f>
        <v>13217.25</v>
      </c>
      <c r="F79" s="62">
        <v>-10250</v>
      </c>
      <c r="G79" s="62">
        <f>167708.51-10250</f>
        <v>157458.51</v>
      </c>
      <c r="H79" s="81" t="s">
        <v>233</v>
      </c>
    </row>
    <row r="80" spans="1:8" x14ac:dyDescent="0.45">
      <c r="A80" s="80"/>
      <c r="B80" s="80"/>
      <c r="C80" s="61" t="s">
        <v>219</v>
      </c>
      <c r="D80" s="62">
        <v>0</v>
      </c>
      <c r="E80" s="62">
        <v>0</v>
      </c>
      <c r="F80" s="62">
        <v>10250</v>
      </c>
      <c r="G80" s="62">
        <v>10250</v>
      </c>
      <c r="H80" s="82"/>
    </row>
    <row r="81" spans="1:8" x14ac:dyDescent="0.45">
      <c r="A81" s="80"/>
      <c r="B81" s="80"/>
      <c r="C81" s="11" t="s">
        <v>37</v>
      </c>
      <c r="D81" s="4">
        <v>20399</v>
      </c>
      <c r="E81" s="4">
        <f>741.6+2478+2470+2470</f>
        <v>8159.6</v>
      </c>
      <c r="F81" s="4"/>
      <c r="G81" s="4">
        <v>20399</v>
      </c>
      <c r="H81" s="53"/>
    </row>
    <row r="82" spans="1:8" x14ac:dyDescent="0.45">
      <c r="A82" s="5" t="s">
        <v>104</v>
      </c>
      <c r="B82" s="5" t="s">
        <v>16</v>
      </c>
      <c r="C82" s="5"/>
      <c r="D82" s="6">
        <f>D83+D85+D84</f>
        <v>18800</v>
      </c>
      <c r="E82" s="6">
        <f>E83+E85+E84</f>
        <v>13916.83</v>
      </c>
      <c r="F82" s="6">
        <f>F83+F85+F84</f>
        <v>13200</v>
      </c>
      <c r="G82" s="6">
        <f>G83+G85+G84</f>
        <v>32000</v>
      </c>
      <c r="H82" s="55"/>
    </row>
    <row r="83" spans="1:8" x14ac:dyDescent="0.45">
      <c r="A83" s="13">
        <v>43</v>
      </c>
      <c r="B83" s="14" t="s">
        <v>105</v>
      </c>
      <c r="C83" s="61" t="s">
        <v>13</v>
      </c>
      <c r="D83" s="62">
        <v>13250</v>
      </c>
      <c r="E83" s="62">
        <f>2603.68+5763.15</f>
        <v>8366.83</v>
      </c>
      <c r="F83" s="62">
        <v>1900</v>
      </c>
      <c r="G83" s="62">
        <f>13250+1900</f>
        <v>15150</v>
      </c>
      <c r="H83" s="83" t="s">
        <v>234</v>
      </c>
    </row>
    <row r="84" spans="1:8" x14ac:dyDescent="0.45">
      <c r="A84" s="13">
        <v>43</v>
      </c>
      <c r="B84" s="14" t="s">
        <v>106</v>
      </c>
      <c r="C84" s="61" t="s">
        <v>41</v>
      </c>
      <c r="D84" s="62">
        <v>5550</v>
      </c>
      <c r="E84" s="62">
        <v>5550</v>
      </c>
      <c r="F84" s="62">
        <v>8000</v>
      </c>
      <c r="G84" s="62">
        <f>5550+8000</f>
        <v>13550</v>
      </c>
      <c r="H84" s="83"/>
    </row>
    <row r="85" spans="1:8" x14ac:dyDescent="0.45">
      <c r="A85" s="13">
        <v>43</v>
      </c>
      <c r="B85" s="14" t="s">
        <v>107</v>
      </c>
      <c r="C85" s="61" t="s">
        <v>41</v>
      </c>
      <c r="D85" s="62">
        <v>0</v>
      </c>
      <c r="E85" s="62">
        <v>0</v>
      </c>
      <c r="F85" s="62">
        <v>3300</v>
      </c>
      <c r="G85" s="62">
        <f>3300</f>
        <v>3300</v>
      </c>
      <c r="H85" s="83"/>
    </row>
    <row r="86" spans="1:8" x14ac:dyDescent="0.45">
      <c r="A86" s="5" t="s">
        <v>108</v>
      </c>
      <c r="B86" s="5" t="s">
        <v>109</v>
      </c>
      <c r="C86" s="5"/>
      <c r="D86" s="37">
        <f>SUM(D87)</f>
        <v>5000</v>
      </c>
      <c r="E86" s="37">
        <f>SUM(E87)</f>
        <v>0</v>
      </c>
      <c r="F86" s="37">
        <f>SUM(F87)</f>
        <v>0</v>
      </c>
      <c r="G86" s="37">
        <f>SUM(G87)</f>
        <v>5000</v>
      </c>
      <c r="H86" s="56"/>
    </row>
    <row r="87" spans="1:8" x14ac:dyDescent="0.45">
      <c r="A87" s="9">
        <v>4452</v>
      </c>
      <c r="B87" s="38" t="s">
        <v>110</v>
      </c>
      <c r="C87" s="10" t="s">
        <v>13</v>
      </c>
      <c r="D87" s="4">
        <v>5000</v>
      </c>
      <c r="E87" s="4">
        <v>0</v>
      </c>
      <c r="F87" s="4"/>
      <c r="G87" s="4">
        <v>5000</v>
      </c>
      <c r="H87" s="53"/>
    </row>
    <row r="88" spans="1:8" x14ac:dyDescent="0.45">
      <c r="A88" s="35">
        <v>45</v>
      </c>
      <c r="B88" s="5" t="s">
        <v>232</v>
      </c>
      <c r="C88" s="5"/>
      <c r="D88" s="37">
        <f>D89</f>
        <v>0</v>
      </c>
      <c r="E88" s="37">
        <f>E89</f>
        <v>0</v>
      </c>
      <c r="F88" s="37">
        <f>F89</f>
        <v>5000</v>
      </c>
      <c r="G88" s="37">
        <f>G89</f>
        <v>5000</v>
      </c>
      <c r="H88" s="56"/>
    </row>
    <row r="89" spans="1:8" x14ac:dyDescent="0.45">
      <c r="A89" s="9">
        <v>45002</v>
      </c>
      <c r="B89" s="38" t="s">
        <v>231</v>
      </c>
      <c r="C89" s="63" t="s">
        <v>13</v>
      </c>
      <c r="D89" s="62">
        <v>0</v>
      </c>
      <c r="E89" s="62">
        <v>0</v>
      </c>
      <c r="F89" s="62">
        <v>5000</v>
      </c>
      <c r="G89" s="62">
        <v>5000</v>
      </c>
      <c r="H89" s="53" t="s">
        <v>235</v>
      </c>
    </row>
    <row r="90" spans="1:8" x14ac:dyDescent="0.45">
      <c r="A90" s="5" t="s">
        <v>111</v>
      </c>
      <c r="B90" s="5" t="s">
        <v>18</v>
      </c>
      <c r="C90" s="5"/>
      <c r="D90" s="37">
        <f>SUM(D91:D118)</f>
        <v>105165</v>
      </c>
      <c r="E90" s="37">
        <f>SUM(E91:E118)</f>
        <v>49212.700000000012</v>
      </c>
      <c r="F90" s="37">
        <f>SUM(F91:F118)</f>
        <v>0</v>
      </c>
      <c r="G90" s="37">
        <f>SUM(G91:G118)</f>
        <v>105165</v>
      </c>
      <c r="H90" s="56"/>
    </row>
    <row r="91" spans="1:8" ht="15" customHeight="1" x14ac:dyDescent="0.45">
      <c r="A91" s="72" t="s">
        <v>112</v>
      </c>
      <c r="B91" s="72" t="s">
        <v>113</v>
      </c>
      <c r="C91" s="10" t="s">
        <v>13</v>
      </c>
      <c r="D91" s="4">
        <v>17000</v>
      </c>
      <c r="E91" s="4">
        <v>7094.3</v>
      </c>
      <c r="F91" s="4"/>
      <c r="G91" s="4">
        <v>17000</v>
      </c>
      <c r="H91" s="53"/>
    </row>
    <row r="92" spans="1:8" ht="15" customHeight="1" x14ac:dyDescent="0.45">
      <c r="A92" s="73"/>
      <c r="B92" s="73"/>
      <c r="C92" s="11" t="s">
        <v>46</v>
      </c>
      <c r="D92" s="4">
        <v>2000</v>
      </c>
      <c r="E92" s="4">
        <v>0</v>
      </c>
      <c r="F92" s="4"/>
      <c r="G92" s="4">
        <v>2000</v>
      </c>
      <c r="H92" s="53"/>
    </row>
    <row r="93" spans="1:8" x14ac:dyDescent="0.45">
      <c r="A93" s="70" t="s">
        <v>114</v>
      </c>
      <c r="B93" s="70" t="s">
        <v>115</v>
      </c>
      <c r="C93" s="11" t="s">
        <v>41</v>
      </c>
      <c r="D93" s="4">
        <v>2085</v>
      </c>
      <c r="E93" s="4">
        <v>416.93</v>
      </c>
      <c r="F93" s="4"/>
      <c r="G93" s="4">
        <v>2085</v>
      </c>
      <c r="H93" s="53"/>
    </row>
    <row r="94" spans="1:8" x14ac:dyDescent="0.45">
      <c r="A94" s="71"/>
      <c r="B94" s="71"/>
      <c r="C94" s="11" t="s">
        <v>10</v>
      </c>
      <c r="D94" s="4">
        <v>4150</v>
      </c>
      <c r="E94" s="4">
        <v>1790.11</v>
      </c>
      <c r="F94" s="4"/>
      <c r="G94" s="4">
        <v>4150</v>
      </c>
      <c r="H94" s="53"/>
    </row>
    <row r="95" spans="1:8" x14ac:dyDescent="0.45">
      <c r="A95" s="71"/>
      <c r="B95" s="71"/>
      <c r="C95" s="30" t="s">
        <v>13</v>
      </c>
      <c r="D95" s="4">
        <v>8492</v>
      </c>
      <c r="E95" s="4">
        <v>2162.0100000000002</v>
      </c>
      <c r="F95" s="4"/>
      <c r="G95" s="4">
        <v>8492</v>
      </c>
      <c r="H95" s="53"/>
    </row>
    <row r="96" spans="1:8" x14ac:dyDescent="0.45">
      <c r="A96" s="14" t="s">
        <v>116</v>
      </c>
      <c r="B96" s="14" t="s">
        <v>117</v>
      </c>
      <c r="C96" s="11" t="s">
        <v>13</v>
      </c>
      <c r="D96" s="4">
        <v>3600</v>
      </c>
      <c r="E96" s="4">
        <v>500</v>
      </c>
      <c r="F96" s="4"/>
      <c r="G96" s="4">
        <v>3600</v>
      </c>
      <c r="H96" s="53"/>
    </row>
    <row r="97" spans="1:8" x14ac:dyDescent="0.45">
      <c r="A97" s="31" t="s">
        <v>118</v>
      </c>
      <c r="B97" s="38" t="s">
        <v>119</v>
      </c>
      <c r="C97" s="10" t="s">
        <v>13</v>
      </c>
      <c r="D97" s="4">
        <v>8400</v>
      </c>
      <c r="E97" s="4">
        <v>5335.03</v>
      </c>
      <c r="F97" s="4"/>
      <c r="G97" s="4">
        <v>8400</v>
      </c>
      <c r="H97" s="53"/>
    </row>
    <row r="98" spans="1:8" x14ac:dyDescent="0.45">
      <c r="A98" s="9">
        <v>4617</v>
      </c>
      <c r="B98" s="38" t="s">
        <v>120</v>
      </c>
      <c r="C98" s="11" t="s">
        <v>13</v>
      </c>
      <c r="D98" s="4">
        <v>400</v>
      </c>
      <c r="E98" s="4">
        <v>0</v>
      </c>
      <c r="F98" s="4"/>
      <c r="G98" s="4">
        <v>400</v>
      </c>
      <c r="H98" s="53"/>
    </row>
    <row r="99" spans="1:8" x14ac:dyDescent="0.45">
      <c r="A99" s="72">
        <v>4618</v>
      </c>
      <c r="B99" s="70" t="s">
        <v>121</v>
      </c>
      <c r="C99" s="11" t="s">
        <v>41</v>
      </c>
      <c r="D99" s="4">
        <v>2500</v>
      </c>
      <c r="E99" s="4">
        <v>700</v>
      </c>
      <c r="F99" s="4"/>
      <c r="G99" s="4">
        <v>2500</v>
      </c>
      <c r="H99" s="53"/>
    </row>
    <row r="100" spans="1:8" x14ac:dyDescent="0.45">
      <c r="A100" s="73"/>
      <c r="B100" s="71"/>
      <c r="C100" s="11" t="s">
        <v>10</v>
      </c>
      <c r="D100" s="4">
        <v>3600</v>
      </c>
      <c r="E100" s="4">
        <v>1800</v>
      </c>
      <c r="F100" s="4"/>
      <c r="G100" s="4">
        <v>3600</v>
      </c>
      <c r="H100" s="53"/>
    </row>
    <row r="101" spans="1:8" x14ac:dyDescent="0.45">
      <c r="A101" s="73"/>
      <c r="B101" s="71"/>
      <c r="C101" s="11" t="s">
        <v>13</v>
      </c>
      <c r="D101" s="4">
        <v>6500</v>
      </c>
      <c r="E101" s="4">
        <v>2300</v>
      </c>
      <c r="F101" s="4"/>
      <c r="G101" s="4">
        <v>6500</v>
      </c>
      <c r="H101" s="53"/>
    </row>
    <row r="102" spans="1:8" x14ac:dyDescent="0.45">
      <c r="A102" s="9">
        <v>4619</v>
      </c>
      <c r="B102" s="38" t="s">
        <v>122</v>
      </c>
      <c r="C102" s="11" t="s">
        <v>13</v>
      </c>
      <c r="D102" s="4">
        <v>1500</v>
      </c>
      <c r="E102" s="4">
        <v>0</v>
      </c>
      <c r="F102" s="4"/>
      <c r="G102" s="4">
        <v>1500</v>
      </c>
      <c r="H102" s="53"/>
    </row>
    <row r="103" spans="1:8" x14ac:dyDescent="0.45">
      <c r="A103" s="70">
        <v>4637</v>
      </c>
      <c r="B103" s="38" t="s">
        <v>123</v>
      </c>
      <c r="C103" s="11" t="s">
        <v>13</v>
      </c>
      <c r="D103" s="4">
        <f>7100-3600</f>
        <v>3500</v>
      </c>
      <c r="E103" s="4">
        <f>2050+1305</f>
        <v>3355</v>
      </c>
      <c r="F103" s="4"/>
      <c r="G103" s="4">
        <f>7100-3600</f>
        <v>3500</v>
      </c>
      <c r="H103" s="53"/>
    </row>
    <row r="104" spans="1:8" x14ac:dyDescent="0.45">
      <c r="A104" s="71"/>
      <c r="B104" s="38" t="s">
        <v>124</v>
      </c>
      <c r="C104" s="11" t="s">
        <v>41</v>
      </c>
      <c r="D104" s="4">
        <v>8000</v>
      </c>
      <c r="E104" s="4">
        <v>8000</v>
      </c>
      <c r="F104" s="4"/>
      <c r="G104" s="4">
        <v>8000</v>
      </c>
      <c r="H104" s="53"/>
    </row>
    <row r="105" spans="1:8" x14ac:dyDescent="0.45">
      <c r="A105" s="14" t="s">
        <v>125</v>
      </c>
      <c r="B105" s="14" t="s">
        <v>126</v>
      </c>
      <c r="C105" s="11" t="s">
        <v>13</v>
      </c>
      <c r="D105" s="4">
        <v>900</v>
      </c>
      <c r="E105" s="4">
        <v>860.77</v>
      </c>
      <c r="F105" s="4"/>
      <c r="G105" s="4">
        <v>900</v>
      </c>
      <c r="H105" s="53"/>
    </row>
    <row r="106" spans="1:8" x14ac:dyDescent="0.45">
      <c r="A106" s="14" t="s">
        <v>127</v>
      </c>
      <c r="B106" s="14" t="s">
        <v>128</v>
      </c>
      <c r="C106" s="11" t="s">
        <v>13</v>
      </c>
      <c r="D106" s="4">
        <v>3200</v>
      </c>
      <c r="E106" s="4">
        <v>2692.79</v>
      </c>
      <c r="F106" s="4"/>
      <c r="G106" s="4">
        <v>3200</v>
      </c>
      <c r="H106" s="53"/>
    </row>
    <row r="107" spans="1:8" x14ac:dyDescent="0.45">
      <c r="A107" s="13">
        <v>46401</v>
      </c>
      <c r="B107" s="11" t="s">
        <v>129</v>
      </c>
      <c r="C107" s="11" t="s">
        <v>13</v>
      </c>
      <c r="D107" s="4">
        <v>2500</v>
      </c>
      <c r="E107" s="4">
        <v>1125.0999999999999</v>
      </c>
      <c r="F107" s="4"/>
      <c r="G107" s="4">
        <v>2500</v>
      </c>
      <c r="H107" s="53"/>
    </row>
    <row r="108" spans="1:8" x14ac:dyDescent="0.45">
      <c r="A108" s="14" t="s">
        <v>130</v>
      </c>
      <c r="B108" s="14" t="s">
        <v>131</v>
      </c>
      <c r="C108" s="11" t="s">
        <v>13</v>
      </c>
      <c r="D108" s="4">
        <v>1000</v>
      </c>
      <c r="E108" s="4">
        <v>433.05</v>
      </c>
      <c r="F108" s="4"/>
      <c r="G108" s="4">
        <v>1000</v>
      </c>
      <c r="H108" s="53"/>
    </row>
    <row r="109" spans="1:8" x14ac:dyDescent="0.45">
      <c r="A109" s="14" t="s">
        <v>132</v>
      </c>
      <c r="B109" s="14" t="s">
        <v>133</v>
      </c>
      <c r="C109" s="11" t="s">
        <v>13</v>
      </c>
      <c r="D109" s="4">
        <v>240</v>
      </c>
      <c r="E109" s="4">
        <v>120</v>
      </c>
      <c r="F109" s="4"/>
      <c r="G109" s="4">
        <v>240</v>
      </c>
      <c r="H109" s="53"/>
    </row>
    <row r="110" spans="1:8" x14ac:dyDescent="0.45">
      <c r="A110" s="13">
        <v>4661</v>
      </c>
      <c r="B110" s="11" t="s">
        <v>134</v>
      </c>
      <c r="C110" s="11" t="s">
        <v>13</v>
      </c>
      <c r="D110" s="4">
        <v>3760</v>
      </c>
      <c r="E110" s="4">
        <v>2050.4</v>
      </c>
      <c r="F110" s="4"/>
      <c r="G110" s="4">
        <v>3760</v>
      </c>
      <c r="H110" s="53"/>
    </row>
    <row r="111" spans="1:8" x14ac:dyDescent="0.45">
      <c r="A111" s="14" t="s">
        <v>135</v>
      </c>
      <c r="B111" s="14" t="s">
        <v>136</v>
      </c>
      <c r="C111" s="11" t="s">
        <v>13</v>
      </c>
      <c r="D111" s="4">
        <v>128</v>
      </c>
      <c r="E111" s="4">
        <v>63.72</v>
      </c>
      <c r="F111" s="4"/>
      <c r="G111" s="4">
        <v>128</v>
      </c>
      <c r="H111" s="53"/>
    </row>
    <row r="112" spans="1:8" ht="28.5" x14ac:dyDescent="0.45">
      <c r="A112" s="31" t="s">
        <v>137</v>
      </c>
      <c r="B112" s="38" t="s">
        <v>138</v>
      </c>
      <c r="C112" s="10" t="s">
        <v>13</v>
      </c>
      <c r="D112" s="26">
        <f>11085-500+80</f>
        <v>10665</v>
      </c>
      <c r="E112" s="26">
        <v>4819.9399999999996</v>
      </c>
      <c r="F112" s="26"/>
      <c r="G112" s="26">
        <f>11085-500+80</f>
        <v>10665</v>
      </c>
      <c r="H112" s="53"/>
    </row>
    <row r="113" spans="1:8" x14ac:dyDescent="0.45">
      <c r="A113" s="9">
        <v>4685</v>
      </c>
      <c r="B113" s="38" t="s">
        <v>139</v>
      </c>
      <c r="C113" s="11" t="s">
        <v>41</v>
      </c>
      <c r="D113" s="4">
        <v>3000</v>
      </c>
      <c r="E113" s="4">
        <v>0</v>
      </c>
      <c r="F113" s="4"/>
      <c r="G113" s="4">
        <v>3000</v>
      </c>
      <c r="H113" s="53"/>
    </row>
    <row r="114" spans="1:8" x14ac:dyDescent="0.45">
      <c r="A114" s="13">
        <v>4690</v>
      </c>
      <c r="B114" s="14" t="s">
        <v>140</v>
      </c>
      <c r="C114" s="11" t="s">
        <v>13</v>
      </c>
      <c r="D114" s="4">
        <v>5345</v>
      </c>
      <c r="E114" s="4">
        <v>1530</v>
      </c>
      <c r="F114" s="4"/>
      <c r="G114" s="4">
        <v>5345</v>
      </c>
      <c r="H114" s="53"/>
    </row>
    <row r="115" spans="1:8" x14ac:dyDescent="0.45">
      <c r="A115" s="14" t="s">
        <v>141</v>
      </c>
      <c r="B115" s="14" t="s">
        <v>142</v>
      </c>
      <c r="C115" s="11" t="s">
        <v>13</v>
      </c>
      <c r="D115" s="4">
        <v>1500</v>
      </c>
      <c r="E115" s="4">
        <v>1050</v>
      </c>
      <c r="F115" s="4"/>
      <c r="G115" s="4">
        <v>1500</v>
      </c>
      <c r="H115" s="53"/>
    </row>
    <row r="116" spans="1:8" x14ac:dyDescent="0.45">
      <c r="A116" s="14" t="s">
        <v>143</v>
      </c>
      <c r="B116" s="14" t="s">
        <v>144</v>
      </c>
      <c r="C116" s="11" t="s">
        <v>13</v>
      </c>
      <c r="D116" s="4">
        <v>100</v>
      </c>
      <c r="E116" s="4">
        <v>0</v>
      </c>
      <c r="F116" s="4"/>
      <c r="G116" s="4">
        <v>100</v>
      </c>
      <c r="H116" s="53"/>
    </row>
    <row r="117" spans="1:8" x14ac:dyDescent="0.45">
      <c r="A117" s="13">
        <v>4695</v>
      </c>
      <c r="B117" s="14" t="s">
        <v>145</v>
      </c>
      <c r="C117" s="11" t="s">
        <v>13</v>
      </c>
      <c r="D117" s="4">
        <v>100</v>
      </c>
      <c r="E117" s="4">
        <v>13.55</v>
      </c>
      <c r="F117" s="4"/>
      <c r="G117" s="4">
        <v>100</v>
      </c>
      <c r="H117" s="53"/>
    </row>
    <row r="118" spans="1:8" x14ac:dyDescent="0.45">
      <c r="A118" s="13">
        <v>4699</v>
      </c>
      <c r="B118" s="11" t="s">
        <v>146</v>
      </c>
      <c r="C118" s="11" t="s">
        <v>13</v>
      </c>
      <c r="D118" s="4">
        <f>1500-500</f>
        <v>1000</v>
      </c>
      <c r="E118" s="4">
        <v>1000</v>
      </c>
      <c r="F118" s="4"/>
      <c r="G118" s="4">
        <f>1500-500</f>
        <v>1000</v>
      </c>
      <c r="H118" s="53"/>
    </row>
    <row r="119" spans="1:8" x14ac:dyDescent="0.45">
      <c r="A119" s="5" t="s">
        <v>147</v>
      </c>
      <c r="B119" s="5" t="s">
        <v>148</v>
      </c>
      <c r="C119" s="5"/>
      <c r="D119" s="6">
        <f>SUM(D120:D122)</f>
        <v>80</v>
      </c>
      <c r="E119" s="6">
        <f>SUM(E120:E122)</f>
        <v>0</v>
      </c>
      <c r="F119" s="6">
        <f>SUM(F120:F122)</f>
        <v>0</v>
      </c>
      <c r="G119" s="6">
        <f>SUM(G120:G122)</f>
        <v>80</v>
      </c>
      <c r="H119" s="55"/>
    </row>
    <row r="120" spans="1:8" x14ac:dyDescent="0.45">
      <c r="A120" s="14" t="s">
        <v>149</v>
      </c>
      <c r="B120" s="14" t="s">
        <v>150</v>
      </c>
      <c r="C120" s="11" t="s">
        <v>13</v>
      </c>
      <c r="D120" s="39">
        <v>40</v>
      </c>
      <c r="E120" s="39">
        <v>0</v>
      </c>
      <c r="F120" s="39"/>
      <c r="G120" s="39">
        <v>40</v>
      </c>
      <c r="H120" s="53"/>
    </row>
    <row r="121" spans="1:8" x14ac:dyDescent="0.45">
      <c r="A121" s="14" t="s">
        <v>151</v>
      </c>
      <c r="B121" s="14" t="s">
        <v>152</v>
      </c>
      <c r="C121" s="11" t="s">
        <v>13</v>
      </c>
      <c r="D121" s="39">
        <v>20</v>
      </c>
      <c r="E121" s="39">
        <v>0</v>
      </c>
      <c r="F121" s="39"/>
      <c r="G121" s="39">
        <v>20</v>
      </c>
      <c r="H121" s="53"/>
    </row>
    <row r="122" spans="1:8" x14ac:dyDescent="0.45">
      <c r="A122" s="14" t="s">
        <v>153</v>
      </c>
      <c r="B122" s="14" t="s">
        <v>154</v>
      </c>
      <c r="C122" s="11" t="s">
        <v>13</v>
      </c>
      <c r="D122" s="39">
        <v>20</v>
      </c>
      <c r="E122" s="39">
        <v>0</v>
      </c>
      <c r="F122" s="39"/>
      <c r="G122" s="39">
        <v>20</v>
      </c>
      <c r="H122" s="53"/>
    </row>
    <row r="123" spans="1:8" x14ac:dyDescent="0.45">
      <c r="A123" s="5" t="s">
        <v>155</v>
      </c>
      <c r="B123" s="5" t="s">
        <v>20</v>
      </c>
      <c r="C123" s="5"/>
      <c r="D123" s="6">
        <f>D124</f>
        <v>20</v>
      </c>
      <c r="E123" s="6">
        <f>E124</f>
        <v>16.59</v>
      </c>
      <c r="F123" s="6">
        <f>F124</f>
        <v>0</v>
      </c>
      <c r="G123" s="6">
        <f>G124</f>
        <v>20</v>
      </c>
      <c r="H123" s="55"/>
    </row>
    <row r="124" spans="1:8" x14ac:dyDescent="0.45">
      <c r="A124" s="14" t="s">
        <v>156</v>
      </c>
      <c r="B124" s="14" t="s">
        <v>157</v>
      </c>
      <c r="C124" s="11" t="s">
        <v>13</v>
      </c>
      <c r="D124" s="39">
        <v>20</v>
      </c>
      <c r="E124" s="39">
        <v>16.59</v>
      </c>
      <c r="F124" s="39"/>
      <c r="G124" s="39">
        <v>20</v>
      </c>
      <c r="H124" s="53"/>
    </row>
    <row r="125" spans="1:8" x14ac:dyDescent="0.45">
      <c r="A125" s="40"/>
      <c r="B125" s="40"/>
      <c r="C125" s="40"/>
      <c r="H125" s="51"/>
    </row>
    <row r="126" spans="1:8" x14ac:dyDescent="0.45">
      <c r="A126" s="41"/>
      <c r="B126" s="41"/>
      <c r="C126" s="41"/>
      <c r="H126" s="51"/>
    </row>
    <row r="127" spans="1:8" x14ac:dyDescent="0.45">
      <c r="A127" s="1" t="s">
        <v>0</v>
      </c>
      <c r="B127" s="1" t="s">
        <v>158</v>
      </c>
      <c r="C127" s="1" t="s">
        <v>2</v>
      </c>
      <c r="D127" s="2" t="s">
        <v>3</v>
      </c>
      <c r="E127" s="2" t="s">
        <v>4</v>
      </c>
      <c r="F127" s="2" t="s">
        <v>201</v>
      </c>
      <c r="G127" s="2" t="s">
        <v>202</v>
      </c>
      <c r="H127" s="53"/>
    </row>
    <row r="128" spans="1:8" x14ac:dyDescent="0.45">
      <c r="A128" s="3">
        <v>7</v>
      </c>
      <c r="B128" s="1" t="s">
        <v>159</v>
      </c>
      <c r="C128" s="1"/>
      <c r="D128" s="42">
        <f>D129+D151+D162</f>
        <v>1439571.21</v>
      </c>
      <c r="E128" s="42">
        <f>E129+E151+E162</f>
        <v>621195.43000000005</v>
      </c>
      <c r="F128" s="42">
        <f>F129+F151+F162</f>
        <v>37165.43</v>
      </c>
      <c r="G128" s="42">
        <f>G129+G151+G162</f>
        <v>1478736.64</v>
      </c>
      <c r="H128" s="53"/>
    </row>
    <row r="129" spans="1:16" x14ac:dyDescent="0.45">
      <c r="A129" s="5" t="s">
        <v>160</v>
      </c>
      <c r="B129" s="5" t="s">
        <v>161</v>
      </c>
      <c r="C129" s="5"/>
      <c r="D129" s="43">
        <f>D130+D149</f>
        <v>1352578.73</v>
      </c>
      <c r="E129" s="43">
        <f>E130+E149</f>
        <v>586670.79</v>
      </c>
      <c r="F129" s="43">
        <f>F130+F149</f>
        <v>-6700</v>
      </c>
      <c r="G129" s="43">
        <f>G130+G149</f>
        <v>1347878.73</v>
      </c>
      <c r="H129" s="57"/>
      <c r="L129" s="7"/>
      <c r="M129" s="44"/>
      <c r="N129" s="7"/>
      <c r="O129" s="8"/>
      <c r="P129" s="45"/>
    </row>
    <row r="130" spans="1:16" x14ac:dyDescent="0.45">
      <c r="A130" s="46">
        <v>751</v>
      </c>
      <c r="B130" s="47" t="s">
        <v>162</v>
      </c>
      <c r="C130" s="48"/>
      <c r="D130" s="49">
        <f>SUM(D131:D147)</f>
        <v>1351578.73</v>
      </c>
      <c r="E130" s="49">
        <f>SUM(E131:E147)</f>
        <v>586670.79</v>
      </c>
      <c r="F130" s="49">
        <f>SUM(F131:F147)</f>
        <v>-6700</v>
      </c>
      <c r="G130" s="49">
        <f>SUM(G131:G148)</f>
        <v>1346878.73</v>
      </c>
      <c r="H130" s="58"/>
      <c r="L130" s="7"/>
      <c r="M130" s="44"/>
      <c r="N130" s="7"/>
      <c r="O130" s="8"/>
      <c r="P130" s="45"/>
    </row>
    <row r="131" spans="1:16" x14ac:dyDescent="0.45">
      <c r="A131" s="14" t="s">
        <v>163</v>
      </c>
      <c r="B131" s="14" t="s">
        <v>164</v>
      </c>
      <c r="C131" s="11" t="s">
        <v>10</v>
      </c>
      <c r="D131" s="4">
        <v>197080</v>
      </c>
      <c r="E131" s="4">
        <v>98520</v>
      </c>
      <c r="F131" s="4"/>
      <c r="G131" s="4">
        <v>197080</v>
      </c>
      <c r="H131" s="53"/>
      <c r="M131" s="44"/>
      <c r="N131" s="7"/>
      <c r="O131" s="8"/>
      <c r="P131" s="45"/>
    </row>
    <row r="132" spans="1:16" x14ac:dyDescent="0.45">
      <c r="A132" s="13">
        <v>7510</v>
      </c>
      <c r="B132" s="14" t="s">
        <v>165</v>
      </c>
      <c r="C132" s="61" t="s">
        <v>41</v>
      </c>
      <c r="D132" s="62">
        <v>112040</v>
      </c>
      <c r="E132" s="62">
        <v>82800</v>
      </c>
      <c r="F132" s="62">
        <v>11300</v>
      </c>
      <c r="G132" s="62">
        <f>112040+11300</f>
        <v>123340</v>
      </c>
      <c r="H132" s="53" t="s">
        <v>206</v>
      </c>
      <c r="M132" s="44"/>
      <c r="O132" s="8"/>
      <c r="P132" s="45"/>
    </row>
    <row r="133" spans="1:16" x14ac:dyDescent="0.45">
      <c r="A133" s="13">
        <v>7510</v>
      </c>
      <c r="B133" s="14" t="s">
        <v>166</v>
      </c>
      <c r="C133" s="61" t="s">
        <v>13</v>
      </c>
      <c r="D133" s="62">
        <v>10193.16</v>
      </c>
      <c r="E133" s="62">
        <v>4247.1499999999996</v>
      </c>
      <c r="F133" s="62"/>
      <c r="G133" s="62">
        <v>10193.16</v>
      </c>
      <c r="H133" s="53"/>
      <c r="M133" s="44"/>
      <c r="O133" s="8"/>
      <c r="P133" s="45"/>
    </row>
    <row r="134" spans="1:16" x14ac:dyDescent="0.45">
      <c r="A134" s="13">
        <v>7510</v>
      </c>
      <c r="B134" s="14" t="s">
        <v>167</v>
      </c>
      <c r="C134" s="61" t="s">
        <v>13</v>
      </c>
      <c r="D134" s="62">
        <v>43913.25</v>
      </c>
      <c r="E134" s="62">
        <f>14516.55+3043.38</f>
        <v>17559.93</v>
      </c>
      <c r="F134" s="62"/>
      <c r="G134" s="62">
        <v>43913.25</v>
      </c>
      <c r="H134" s="53"/>
      <c r="M134" s="44"/>
      <c r="O134" s="8"/>
      <c r="P134" s="45"/>
    </row>
    <row r="135" spans="1:16" x14ac:dyDescent="0.45">
      <c r="A135" s="13">
        <v>7510</v>
      </c>
      <c r="B135" s="14" t="s">
        <v>168</v>
      </c>
      <c r="C135" s="61" t="s">
        <v>13</v>
      </c>
      <c r="D135" s="62">
        <v>976.2</v>
      </c>
      <c r="E135" s="62">
        <v>488.1</v>
      </c>
      <c r="F135" s="62"/>
      <c r="G135" s="62">
        <v>976.2</v>
      </c>
      <c r="H135" s="53"/>
      <c r="M135" s="44"/>
      <c r="O135" s="8"/>
      <c r="P135" s="45"/>
    </row>
    <row r="136" spans="1:16" x14ac:dyDescent="0.45">
      <c r="A136" s="13">
        <v>7510</v>
      </c>
      <c r="B136" s="14" t="s">
        <v>169</v>
      </c>
      <c r="C136" s="61" t="s">
        <v>13</v>
      </c>
      <c r="D136" s="62">
        <v>1200</v>
      </c>
      <c r="E136" s="62">
        <v>533.47</v>
      </c>
      <c r="F136" s="62"/>
      <c r="G136" s="62">
        <v>1200</v>
      </c>
      <c r="H136" s="53"/>
      <c r="L136" s="7"/>
      <c r="M136" s="44"/>
      <c r="O136" s="45"/>
      <c r="P136" s="45"/>
    </row>
    <row r="137" spans="1:16" x14ac:dyDescent="0.45">
      <c r="A137" s="13">
        <v>7510</v>
      </c>
      <c r="B137" s="14" t="s">
        <v>170</v>
      </c>
      <c r="C137" s="61" t="s">
        <v>13</v>
      </c>
      <c r="D137" s="62">
        <v>21876.12</v>
      </c>
      <c r="E137" s="62">
        <v>13991.26</v>
      </c>
      <c r="F137" s="62"/>
      <c r="G137" s="62">
        <v>21876.12</v>
      </c>
      <c r="H137" s="53"/>
      <c r="L137" s="7"/>
      <c r="N137" s="7"/>
    </row>
    <row r="138" spans="1:16" x14ac:dyDescent="0.45">
      <c r="A138" s="13">
        <v>7510</v>
      </c>
      <c r="B138" s="14" t="s">
        <v>171</v>
      </c>
      <c r="C138" s="61" t="s">
        <v>13</v>
      </c>
      <c r="D138" s="62">
        <v>7000</v>
      </c>
      <c r="E138" s="62">
        <v>4439.74</v>
      </c>
      <c r="F138" s="62"/>
      <c r="G138" s="62">
        <v>7000</v>
      </c>
      <c r="H138" s="53"/>
    </row>
    <row r="139" spans="1:16" x14ac:dyDescent="0.45">
      <c r="A139" s="13">
        <v>7510</v>
      </c>
      <c r="B139" s="14" t="s">
        <v>172</v>
      </c>
      <c r="C139" s="61" t="s">
        <v>13</v>
      </c>
      <c r="D139" s="62">
        <v>25000</v>
      </c>
      <c r="E139" s="62">
        <f>11587.3+1348.6</f>
        <v>12935.9</v>
      </c>
      <c r="F139" s="62"/>
      <c r="G139" s="62">
        <v>25000</v>
      </c>
      <c r="H139" s="53"/>
    </row>
    <row r="140" spans="1:16" x14ac:dyDescent="0.45">
      <c r="A140" s="13">
        <v>7510</v>
      </c>
      <c r="B140" s="14" t="s">
        <v>173</v>
      </c>
      <c r="C140" s="61" t="s">
        <v>13</v>
      </c>
      <c r="D140" s="62">
        <v>0</v>
      </c>
      <c r="E140" s="62">
        <v>2000</v>
      </c>
      <c r="F140" s="62">
        <v>2000</v>
      </c>
      <c r="G140" s="62">
        <v>2000</v>
      </c>
      <c r="H140" s="53" t="s">
        <v>208</v>
      </c>
    </row>
    <row r="141" spans="1:16" x14ac:dyDescent="0.45">
      <c r="A141" s="13">
        <v>7510</v>
      </c>
      <c r="B141" s="14" t="s">
        <v>174</v>
      </c>
      <c r="C141" s="61" t="s">
        <v>13</v>
      </c>
      <c r="D141" s="62">
        <f>24400+5000</f>
        <v>29400</v>
      </c>
      <c r="E141" s="62">
        <v>3625</v>
      </c>
      <c r="F141" s="62"/>
      <c r="G141" s="62">
        <f>24400+5000</f>
        <v>29400</v>
      </c>
      <c r="H141" s="53"/>
    </row>
    <row r="142" spans="1:16" x14ac:dyDescent="0.45">
      <c r="A142" s="13">
        <v>7510</v>
      </c>
      <c r="B142" s="14" t="s">
        <v>175</v>
      </c>
      <c r="C142" s="61" t="s">
        <v>13</v>
      </c>
      <c r="D142" s="62">
        <f>34500+5000+2500</f>
        <v>42000</v>
      </c>
      <c r="E142" s="62">
        <f>1700+2850+3150</f>
        <v>7700</v>
      </c>
      <c r="F142" s="62"/>
      <c r="G142" s="62">
        <f>34500+5000+2500</f>
        <v>42000</v>
      </c>
      <c r="H142" s="53"/>
    </row>
    <row r="143" spans="1:16" x14ac:dyDescent="0.45">
      <c r="A143" s="13">
        <v>7510</v>
      </c>
      <c r="B143" s="14" t="s">
        <v>176</v>
      </c>
      <c r="C143" s="61" t="s">
        <v>13</v>
      </c>
      <c r="D143" s="62">
        <v>53000</v>
      </c>
      <c r="E143" s="62">
        <f>12800-4650</f>
        <v>8150</v>
      </c>
      <c r="F143" s="62">
        <v>-10000</v>
      </c>
      <c r="G143" s="62">
        <f>53000-10000</f>
        <v>43000</v>
      </c>
      <c r="H143" s="53" t="s">
        <v>210</v>
      </c>
    </row>
    <row r="144" spans="1:16" x14ac:dyDescent="0.45">
      <c r="A144" s="13">
        <v>7510</v>
      </c>
      <c r="B144" s="14" t="s">
        <v>177</v>
      </c>
      <c r="C144" s="61" t="s">
        <v>13</v>
      </c>
      <c r="D144" s="62">
        <v>761600</v>
      </c>
      <c r="E144" s="62">
        <v>316980.24</v>
      </c>
      <c r="F144" s="62"/>
      <c r="G144" s="62">
        <v>761600</v>
      </c>
      <c r="H144" s="53"/>
    </row>
    <row r="145" spans="1:8" x14ac:dyDescent="0.45">
      <c r="A145" s="13">
        <v>7510</v>
      </c>
      <c r="B145" s="14" t="s">
        <v>178</v>
      </c>
      <c r="C145" s="61" t="s">
        <v>13</v>
      </c>
      <c r="D145" s="62">
        <v>9300</v>
      </c>
      <c r="E145" s="62">
        <v>4650</v>
      </c>
      <c r="F145" s="62"/>
      <c r="G145" s="62">
        <v>9300</v>
      </c>
      <c r="H145" s="53"/>
    </row>
    <row r="146" spans="1:8" x14ac:dyDescent="0.45">
      <c r="A146" s="13">
        <v>7510</v>
      </c>
      <c r="B146" s="14" t="s">
        <v>179</v>
      </c>
      <c r="C146" s="61" t="s">
        <v>13</v>
      </c>
      <c r="D146" s="62">
        <f>34200+2500</f>
        <v>36700</v>
      </c>
      <c r="E146" s="62">
        <v>7650</v>
      </c>
      <c r="F146" s="62">
        <v>-10000</v>
      </c>
      <c r="G146" s="62">
        <f>34200+2500-10000</f>
        <v>26700</v>
      </c>
      <c r="H146" s="53" t="s">
        <v>203</v>
      </c>
    </row>
    <row r="147" spans="1:8" x14ac:dyDescent="0.45">
      <c r="A147" s="13">
        <v>7510</v>
      </c>
      <c r="B147" s="14" t="s">
        <v>180</v>
      </c>
      <c r="C147" s="61" t="s">
        <v>13</v>
      </c>
      <c r="D147" s="62">
        <v>300</v>
      </c>
      <c r="E147" s="62">
        <v>400</v>
      </c>
      <c r="F147" s="62"/>
      <c r="G147" s="62">
        <v>300</v>
      </c>
      <c r="H147" s="53"/>
    </row>
    <row r="148" spans="1:8" x14ac:dyDescent="0.45">
      <c r="A148" s="13">
        <v>7510</v>
      </c>
      <c r="B148" s="17" t="s">
        <v>221</v>
      </c>
      <c r="C148" s="61" t="s">
        <v>13</v>
      </c>
      <c r="D148" s="62">
        <v>0</v>
      </c>
      <c r="E148" s="62">
        <v>0</v>
      </c>
      <c r="F148" s="62">
        <v>2000</v>
      </c>
      <c r="G148" s="62">
        <v>2000</v>
      </c>
      <c r="H148" s="59" t="s">
        <v>204</v>
      </c>
    </row>
    <row r="149" spans="1:8" x14ac:dyDescent="0.45">
      <c r="A149" s="46">
        <v>754</v>
      </c>
      <c r="B149" s="48" t="s">
        <v>181</v>
      </c>
      <c r="C149" s="48"/>
      <c r="D149" s="49">
        <f>SUM(D150:D150)</f>
        <v>1000</v>
      </c>
      <c r="E149" s="49">
        <f>SUM(E150:E150)</f>
        <v>0</v>
      </c>
      <c r="F149" s="49">
        <f>SUM(F150:F150)</f>
        <v>0</v>
      </c>
      <c r="G149" s="49">
        <f>SUM(G150:G150)</f>
        <v>1000</v>
      </c>
      <c r="H149" s="58"/>
    </row>
    <row r="150" spans="1:8" x14ac:dyDescent="0.45">
      <c r="A150" s="13">
        <v>7540</v>
      </c>
      <c r="B150" s="11" t="s">
        <v>182</v>
      </c>
      <c r="C150" s="11" t="s">
        <v>13</v>
      </c>
      <c r="D150" s="4">
        <v>1000</v>
      </c>
      <c r="E150" s="4">
        <v>0</v>
      </c>
      <c r="F150" s="4">
        <v>0</v>
      </c>
      <c r="G150" s="4">
        <v>1000</v>
      </c>
      <c r="H150" s="53"/>
    </row>
    <row r="151" spans="1:8" x14ac:dyDescent="0.45">
      <c r="A151" s="5" t="s">
        <v>183</v>
      </c>
      <c r="B151" s="5" t="s">
        <v>184</v>
      </c>
      <c r="C151" s="5"/>
      <c r="D151" s="43">
        <f>SUM(D152:D161)</f>
        <v>85842.48</v>
      </c>
      <c r="E151" s="43">
        <f>SUM(E152:E161)</f>
        <v>33348.29</v>
      </c>
      <c r="F151" s="43">
        <f>SUM(F152:F161)</f>
        <v>42865.43</v>
      </c>
      <c r="G151" s="43">
        <f>SUM(G152:G161)</f>
        <v>128707.91</v>
      </c>
      <c r="H151" s="57"/>
    </row>
    <row r="152" spans="1:8" x14ac:dyDescent="0.45">
      <c r="A152" s="13">
        <v>7820</v>
      </c>
      <c r="B152" s="11" t="s">
        <v>185</v>
      </c>
      <c r="C152" s="61" t="s">
        <v>13</v>
      </c>
      <c r="D152" s="62">
        <v>0</v>
      </c>
      <c r="E152" s="62">
        <v>13075.43</v>
      </c>
      <c r="F152" s="62">
        <v>13075.43</v>
      </c>
      <c r="G152" s="62">
        <v>13075.43</v>
      </c>
      <c r="H152" s="53" t="s">
        <v>209</v>
      </c>
    </row>
    <row r="153" spans="1:8" x14ac:dyDescent="0.45">
      <c r="A153" s="13">
        <v>7826</v>
      </c>
      <c r="B153" s="11" t="s">
        <v>186</v>
      </c>
      <c r="C153" s="61" t="s">
        <v>13</v>
      </c>
      <c r="D153" s="62">
        <v>6216.53</v>
      </c>
      <c r="E153" s="62">
        <f>2219.5+300</f>
        <v>2519.5</v>
      </c>
      <c r="F153" s="62"/>
      <c r="G153" s="62">
        <v>6216.53</v>
      </c>
      <c r="H153" s="53"/>
    </row>
    <row r="154" spans="1:8" x14ac:dyDescent="0.45">
      <c r="A154" s="13">
        <v>7860</v>
      </c>
      <c r="B154" s="11" t="s">
        <v>187</v>
      </c>
      <c r="C154" s="61" t="s">
        <v>46</v>
      </c>
      <c r="D154" s="62">
        <v>2000</v>
      </c>
      <c r="E154" s="62">
        <v>0</v>
      </c>
      <c r="F154" s="62"/>
      <c r="G154" s="62">
        <v>2000</v>
      </c>
      <c r="H154" s="53"/>
    </row>
    <row r="155" spans="1:8" x14ac:dyDescent="0.45">
      <c r="A155" s="13">
        <v>7860</v>
      </c>
      <c r="B155" s="11" t="s">
        <v>188</v>
      </c>
      <c r="C155" s="61" t="s">
        <v>46</v>
      </c>
      <c r="D155" s="62">
        <v>9000</v>
      </c>
      <c r="E155" s="62">
        <v>0</v>
      </c>
      <c r="F155" s="62"/>
      <c r="G155" s="62">
        <v>9000</v>
      </c>
      <c r="H155" s="53"/>
    </row>
    <row r="156" spans="1:8" ht="28.5" x14ac:dyDescent="0.45">
      <c r="A156" s="9">
        <v>7860</v>
      </c>
      <c r="B156" s="10" t="s">
        <v>189</v>
      </c>
      <c r="C156" s="69" t="s">
        <v>95</v>
      </c>
      <c r="D156" s="64">
        <v>1000</v>
      </c>
      <c r="E156" s="64">
        <v>473.36</v>
      </c>
      <c r="F156" s="64"/>
      <c r="G156" s="64">
        <v>1000</v>
      </c>
      <c r="H156" s="53"/>
    </row>
    <row r="157" spans="1:8" x14ac:dyDescent="0.45">
      <c r="A157" s="9">
        <v>7860</v>
      </c>
      <c r="B157" s="10" t="s">
        <v>190</v>
      </c>
      <c r="C157" s="61" t="s">
        <v>103</v>
      </c>
      <c r="D157" s="64">
        <v>24425.95</v>
      </c>
      <c r="E157" s="64">
        <v>0</v>
      </c>
      <c r="F157" s="64"/>
      <c r="G157" s="64">
        <v>24425.95</v>
      </c>
      <c r="H157" s="53"/>
    </row>
    <row r="158" spans="1:8" x14ac:dyDescent="0.45">
      <c r="A158" s="9">
        <v>7860</v>
      </c>
      <c r="B158" s="10" t="s">
        <v>205</v>
      </c>
      <c r="C158" s="61" t="s">
        <v>43</v>
      </c>
      <c r="D158" s="64">
        <v>0</v>
      </c>
      <c r="E158" s="64">
        <v>0</v>
      </c>
      <c r="F158" s="64">
        <v>6640</v>
      </c>
      <c r="G158" s="64">
        <v>6640</v>
      </c>
      <c r="H158" s="53" t="s">
        <v>207</v>
      </c>
    </row>
    <row r="159" spans="1:8" x14ac:dyDescent="0.45">
      <c r="A159" s="9">
        <v>7860</v>
      </c>
      <c r="B159" s="10" t="s">
        <v>212</v>
      </c>
      <c r="C159" s="61" t="s">
        <v>219</v>
      </c>
      <c r="D159" s="64">
        <v>0</v>
      </c>
      <c r="E159" s="64">
        <v>0</v>
      </c>
      <c r="F159" s="64">
        <v>23150</v>
      </c>
      <c r="G159" s="64">
        <v>23150</v>
      </c>
      <c r="H159" s="53" t="s">
        <v>211</v>
      </c>
    </row>
    <row r="160" spans="1:8" x14ac:dyDescent="0.45">
      <c r="A160" s="13">
        <v>7860</v>
      </c>
      <c r="B160" s="11" t="s">
        <v>191</v>
      </c>
      <c r="C160" s="61" t="s">
        <v>37</v>
      </c>
      <c r="D160" s="62">
        <v>25920</v>
      </c>
      <c r="E160" s="62">
        <v>0</v>
      </c>
      <c r="F160" s="62"/>
      <c r="G160" s="62">
        <v>25920</v>
      </c>
      <c r="H160" s="53"/>
    </row>
    <row r="161" spans="1:8" x14ac:dyDescent="0.45">
      <c r="A161" s="13">
        <v>7860</v>
      </c>
      <c r="B161" s="11" t="s">
        <v>192</v>
      </c>
      <c r="C161" s="11" t="s">
        <v>37</v>
      </c>
      <c r="D161" s="4">
        <v>17280</v>
      </c>
      <c r="E161" s="4">
        <v>17280</v>
      </c>
      <c r="F161" s="4"/>
      <c r="G161" s="4">
        <v>17280</v>
      </c>
      <c r="H161" s="53"/>
    </row>
    <row r="162" spans="1:8" x14ac:dyDescent="0.45">
      <c r="A162" s="5" t="s">
        <v>193</v>
      </c>
      <c r="B162" s="5" t="s">
        <v>194</v>
      </c>
      <c r="C162" s="5"/>
      <c r="D162" s="43">
        <f>SUM(D163:D166)</f>
        <v>1150</v>
      </c>
      <c r="E162" s="43">
        <f>SUM(E163:E166)</f>
        <v>1176.3499999999999</v>
      </c>
      <c r="F162" s="43">
        <f>SUM(F163:F166)</f>
        <v>1000</v>
      </c>
      <c r="G162" s="43">
        <f>SUM(G163:G166)</f>
        <v>2150</v>
      </c>
      <c r="H162" s="57"/>
    </row>
    <row r="163" spans="1:8" x14ac:dyDescent="0.45">
      <c r="A163" s="14" t="s">
        <v>195</v>
      </c>
      <c r="B163" s="14" t="s">
        <v>196</v>
      </c>
      <c r="C163" s="11" t="s">
        <v>13</v>
      </c>
      <c r="D163" s="4">
        <v>40</v>
      </c>
      <c r="E163" s="4">
        <v>43.54</v>
      </c>
      <c r="F163" s="4"/>
      <c r="G163" s="4">
        <v>40</v>
      </c>
      <c r="H163" s="53"/>
    </row>
    <row r="164" spans="1:8" x14ac:dyDescent="0.45">
      <c r="A164" s="13">
        <v>77101</v>
      </c>
      <c r="B164" s="11" t="s">
        <v>197</v>
      </c>
      <c r="C164" s="11" t="s">
        <v>13</v>
      </c>
      <c r="D164" s="4">
        <f>100+1000</f>
        <v>1100</v>
      </c>
      <c r="E164" s="4">
        <v>1132.81</v>
      </c>
      <c r="F164" s="4"/>
      <c r="G164" s="4">
        <f>100+1000</f>
        <v>1100</v>
      </c>
      <c r="H164" s="53"/>
    </row>
    <row r="165" spans="1:8" x14ac:dyDescent="0.45">
      <c r="A165" s="13">
        <v>77102</v>
      </c>
      <c r="B165" s="11" t="s">
        <v>220</v>
      </c>
      <c r="C165" s="61" t="s">
        <v>13</v>
      </c>
      <c r="D165" s="62">
        <v>0</v>
      </c>
      <c r="E165" s="62">
        <v>0</v>
      </c>
      <c r="F165" s="62">
        <v>1000</v>
      </c>
      <c r="G165" s="62">
        <v>1000</v>
      </c>
      <c r="H165" s="53" t="s">
        <v>213</v>
      </c>
    </row>
    <row r="166" spans="1:8" x14ac:dyDescent="0.45">
      <c r="A166" s="13">
        <v>7720</v>
      </c>
      <c r="B166" s="11" t="s">
        <v>198</v>
      </c>
      <c r="C166" s="11" t="s">
        <v>13</v>
      </c>
      <c r="D166" s="4">
        <v>10</v>
      </c>
      <c r="E166" s="4">
        <v>0</v>
      </c>
      <c r="F166" s="4"/>
      <c r="G166" s="4">
        <v>10</v>
      </c>
      <c r="H166" s="53"/>
    </row>
    <row r="167" spans="1:8" x14ac:dyDescent="0.45">
      <c r="A167" s="5" t="s">
        <v>199</v>
      </c>
      <c r="B167" s="5" t="s">
        <v>200</v>
      </c>
      <c r="C167" s="5"/>
      <c r="D167" s="43">
        <f>D128-D2</f>
        <v>4209.75</v>
      </c>
      <c r="E167" s="43">
        <f>E128-E2</f>
        <v>34707.04000000027</v>
      </c>
      <c r="F167" s="43">
        <f>F128-F2</f>
        <v>5975.43</v>
      </c>
      <c r="G167" s="43">
        <f>G128-G2</f>
        <v>7185.1799999999348</v>
      </c>
      <c r="H167" s="57"/>
    </row>
  </sheetData>
  <autoFilter ref="A2:C125" xr:uid="{5D2B9013-4273-4ACA-9029-0CDAB415E228}"/>
  <mergeCells count="35">
    <mergeCell ref="H79:H80"/>
    <mergeCell ref="H42:H43"/>
    <mergeCell ref="H83:H85"/>
    <mergeCell ref="H1:H2"/>
    <mergeCell ref="A42:A43"/>
    <mergeCell ref="B42:B43"/>
    <mergeCell ref="A8:A9"/>
    <mergeCell ref="B8:B9"/>
    <mergeCell ref="A11:A12"/>
    <mergeCell ref="B11:B12"/>
    <mergeCell ref="A13:A14"/>
    <mergeCell ref="B13:B14"/>
    <mergeCell ref="A20:A21"/>
    <mergeCell ref="B20:B21"/>
    <mergeCell ref="A22:A23"/>
    <mergeCell ref="B22:B23"/>
    <mergeCell ref="A38:A39"/>
    <mergeCell ref="A91:A92"/>
    <mergeCell ref="B91:B92"/>
    <mergeCell ref="A50:A51"/>
    <mergeCell ref="B50:B51"/>
    <mergeCell ref="A57:A58"/>
    <mergeCell ref="B57:B58"/>
    <mergeCell ref="A59:A60"/>
    <mergeCell ref="B59:B60"/>
    <mergeCell ref="A67:A72"/>
    <mergeCell ref="A61:A62"/>
    <mergeCell ref="B61:B62"/>
    <mergeCell ref="A76:A81"/>
    <mergeCell ref="B76:B81"/>
    <mergeCell ref="A93:A95"/>
    <mergeCell ref="B93:B95"/>
    <mergeCell ref="A99:A101"/>
    <mergeCell ref="B99:B101"/>
    <mergeCell ref="A103:A104"/>
  </mergeCells>
  <phoneticPr fontId="5" type="noConversion"/>
  <pageMargins left="0.7" right="0.7" top="0.75" bottom="0.75" header="0.3" footer="0.3"/>
  <pageSetup paperSize="8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I. Izmjena</vt:lpstr>
      <vt:lpstr>'I. Izmjena'!Podrucje_ispisa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 Golub</dc:creator>
  <cp:lastModifiedBy>Melita  Golub</cp:lastModifiedBy>
  <cp:lastPrinted>2025-08-14T10:13:44Z</cp:lastPrinted>
  <dcterms:created xsi:type="dcterms:W3CDTF">2025-07-11T11:46:52Z</dcterms:created>
  <dcterms:modified xsi:type="dcterms:W3CDTF">2025-08-14T10:14:17Z</dcterms:modified>
</cp:coreProperties>
</file>